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regon Swimming\financial reports\"/>
    </mc:Choice>
  </mc:AlternateContent>
  <xr:revisionPtr revIDLastSave="0" documentId="13_ncr:1_{01B83D3E-A401-402E-B0C9-5ECD6C7DE84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fit and Loss" sheetId="1" r:id="rId1"/>
  </sheets>
  <definedNames>
    <definedName name="_xlnm.Print_Area" localSheetId="0">'Profit and Loss'!$A$6:$H$315</definedName>
    <definedName name="_xlnm.Print_Titles" localSheetId="0">'Profit and Loss'!$1:$5</definedName>
  </definedNames>
  <calcPr calcId="162913"/>
</workbook>
</file>

<file path=xl/calcChain.xml><?xml version="1.0" encoding="utf-8"?>
<calcChain xmlns="http://schemas.openxmlformats.org/spreadsheetml/2006/main">
  <c r="G255" i="1" l="1"/>
  <c r="F255" i="1"/>
  <c r="F233" i="1"/>
  <c r="G233" i="1"/>
  <c r="G243" i="1" l="1"/>
  <c r="F243" i="1"/>
  <c r="A315" i="1" l="1"/>
  <c r="E297" i="1"/>
  <c r="E286" i="1"/>
  <c r="E282" i="1"/>
  <c r="E277" i="1"/>
  <c r="E264" i="1"/>
  <c r="E253" i="1"/>
  <c r="E243" i="1"/>
  <c r="E233" i="1"/>
  <c r="E223" i="1"/>
  <c r="E217" i="1"/>
  <c r="E208" i="1"/>
  <c r="E201" i="1"/>
  <c r="E189" i="1"/>
  <c r="E184" i="1"/>
  <c r="E173" i="1"/>
  <c r="E163" i="1"/>
  <c r="E149" i="1"/>
  <c r="E137" i="1"/>
  <c r="E127" i="1"/>
  <c r="E71" i="1"/>
  <c r="E60" i="1"/>
  <c r="E62" i="1" s="1"/>
  <c r="E46" i="1"/>
  <c r="E33" i="1"/>
  <c r="E35" i="1" s="1"/>
  <c r="E22" i="1"/>
  <c r="E11" i="1"/>
  <c r="E13" i="1" s="1"/>
  <c r="E15" i="1" s="1"/>
  <c r="G309" i="1"/>
  <c r="G311" i="1" s="1"/>
  <c r="G302" i="1"/>
  <c r="G304" i="1" s="1"/>
  <c r="G306" i="1" s="1"/>
  <c r="G297" i="1"/>
  <c r="G287" i="1"/>
  <c r="G285" i="1"/>
  <c r="G286" i="1" s="1"/>
  <c r="G282" i="1"/>
  <c r="G277" i="1"/>
  <c r="G271" i="1"/>
  <c r="G251" i="1"/>
  <c r="G250" i="1"/>
  <c r="G246" i="1"/>
  <c r="G242" i="1"/>
  <c r="G241" i="1"/>
  <c r="G240" i="1"/>
  <c r="G238" i="1"/>
  <c r="G237" i="1"/>
  <c r="G229" i="1"/>
  <c r="G226" i="1"/>
  <c r="G222" i="1"/>
  <c r="G221" i="1"/>
  <c r="G220" i="1"/>
  <c r="G223" i="1" s="1"/>
  <c r="G216" i="1"/>
  <c r="G215" i="1"/>
  <c r="G214" i="1"/>
  <c r="G213" i="1"/>
  <c r="G212" i="1"/>
  <c r="G211" i="1"/>
  <c r="G206" i="1"/>
  <c r="G205" i="1"/>
  <c r="G204" i="1"/>
  <c r="G200" i="1"/>
  <c r="G199" i="1"/>
  <c r="G197" i="1"/>
  <c r="G194" i="1"/>
  <c r="G193" i="1"/>
  <c r="G188" i="1"/>
  <c r="G189" i="1" s="1"/>
  <c r="G184" i="1"/>
  <c r="G172" i="1"/>
  <c r="G171" i="1"/>
  <c r="G170" i="1"/>
  <c r="G169" i="1"/>
  <c r="G173" i="1" s="1"/>
  <c r="G168" i="1"/>
  <c r="G167" i="1"/>
  <c r="G166" i="1"/>
  <c r="G163" i="1"/>
  <c r="G160" i="1"/>
  <c r="G148" i="1"/>
  <c r="G147" i="1"/>
  <c r="G145" i="1"/>
  <c r="G144" i="1"/>
  <c r="G143" i="1"/>
  <c r="G142" i="1"/>
  <c r="G139" i="1"/>
  <c r="G136" i="1"/>
  <c r="G135" i="1"/>
  <c r="G134" i="1"/>
  <c r="G133" i="1"/>
  <c r="G132" i="1"/>
  <c r="G131" i="1"/>
  <c r="G130" i="1"/>
  <c r="G125" i="1"/>
  <c r="G124" i="1"/>
  <c r="G122" i="1"/>
  <c r="G121" i="1"/>
  <c r="G120" i="1"/>
  <c r="G119" i="1"/>
  <c r="G112" i="1"/>
  <c r="G80" i="1"/>
  <c r="G77" i="1"/>
  <c r="G69" i="1"/>
  <c r="G68" i="1"/>
  <c r="G67" i="1"/>
  <c r="G66" i="1"/>
  <c r="G61" i="1"/>
  <c r="G59" i="1"/>
  <c r="G58" i="1"/>
  <c r="G57" i="1"/>
  <c r="G54" i="1"/>
  <c r="G53" i="1"/>
  <c r="G48" i="1"/>
  <c r="G37" i="1"/>
  <c r="G46" i="1" s="1"/>
  <c r="G34" i="1"/>
  <c r="G32" i="1"/>
  <c r="G31" i="1"/>
  <c r="G30" i="1"/>
  <c r="G28" i="1"/>
  <c r="G27" i="1"/>
  <c r="G21" i="1"/>
  <c r="G18" i="1"/>
  <c r="G13" i="1"/>
  <c r="G11" i="1"/>
  <c r="G9" i="1"/>
  <c r="B311" i="1"/>
  <c r="B302" i="1"/>
  <c r="B304" i="1" s="1"/>
  <c r="B306" i="1" s="1"/>
  <c r="B297" i="1"/>
  <c r="B286" i="1"/>
  <c r="B282" i="1"/>
  <c r="B275" i="1"/>
  <c r="B274" i="1"/>
  <c r="B272" i="1"/>
  <c r="B271" i="1"/>
  <c r="B270" i="1"/>
  <c r="B269" i="1"/>
  <c r="B268" i="1"/>
  <c r="B267" i="1"/>
  <c r="B266" i="1"/>
  <c r="B263" i="1"/>
  <c r="B262" i="1"/>
  <c r="B261" i="1"/>
  <c r="B260" i="1"/>
  <c r="B256" i="1"/>
  <c r="B254" i="1"/>
  <c r="B252" i="1"/>
  <c r="B251" i="1"/>
  <c r="B250" i="1"/>
  <c r="B249" i="1"/>
  <c r="B248" i="1"/>
  <c r="B242" i="1"/>
  <c r="B241" i="1"/>
  <c r="B240" i="1"/>
  <c r="B239" i="1"/>
  <c r="B230" i="1"/>
  <c r="B233" i="1" s="1"/>
  <c r="B226" i="1"/>
  <c r="B222" i="1"/>
  <c r="B221" i="1"/>
  <c r="B220" i="1"/>
  <c r="B216" i="1"/>
  <c r="B215" i="1"/>
  <c r="B214" i="1"/>
  <c r="B213" i="1"/>
  <c r="B212" i="1"/>
  <c r="B211" i="1"/>
  <c r="B208" i="1"/>
  <c r="B204" i="1"/>
  <c r="B200" i="1"/>
  <c r="B199" i="1"/>
  <c r="B194" i="1"/>
  <c r="B193" i="1"/>
  <c r="B192" i="1"/>
  <c r="B188" i="1"/>
  <c r="B189" i="1" s="1"/>
  <c r="B187" i="1"/>
  <c r="B181" i="1"/>
  <c r="B178" i="1"/>
  <c r="B175" i="1"/>
  <c r="B172" i="1"/>
  <c r="B171" i="1"/>
  <c r="B170" i="1"/>
  <c r="B169" i="1"/>
  <c r="B168" i="1"/>
  <c r="B167" i="1"/>
  <c r="B165" i="1"/>
  <c r="B159" i="1"/>
  <c r="B163" i="1" s="1"/>
  <c r="B141" i="1"/>
  <c r="B149" i="1" s="1"/>
  <c r="B139" i="1"/>
  <c r="B136" i="1"/>
  <c r="B135" i="1"/>
  <c r="B134" i="1"/>
  <c r="B133" i="1"/>
  <c r="B132" i="1"/>
  <c r="B131" i="1"/>
  <c r="B130" i="1"/>
  <c r="B124" i="1"/>
  <c r="B122" i="1"/>
  <c r="B121" i="1"/>
  <c r="B120" i="1"/>
  <c r="B119" i="1"/>
  <c r="B118" i="1"/>
  <c r="B112" i="1"/>
  <c r="B86" i="1"/>
  <c r="B85" i="1"/>
  <c r="B78" i="1"/>
  <c r="B80" i="1" s="1"/>
  <c r="B77" i="1"/>
  <c r="B69" i="1"/>
  <c r="B68" i="1"/>
  <c r="B67" i="1"/>
  <c r="B66" i="1"/>
  <c r="B65" i="1"/>
  <c r="B61" i="1"/>
  <c r="B59" i="1"/>
  <c r="B58" i="1"/>
  <c r="B57" i="1"/>
  <c r="B56" i="1"/>
  <c r="B55" i="1"/>
  <c r="B60" i="1" s="1"/>
  <c r="B62" i="1" s="1"/>
  <c r="B48" i="1"/>
  <c r="B45" i="1"/>
  <c r="B44" i="1"/>
  <c r="B43" i="1"/>
  <c r="B42" i="1"/>
  <c r="B41" i="1"/>
  <c r="B39" i="1"/>
  <c r="B38" i="1"/>
  <c r="B37" i="1"/>
  <c r="B34" i="1"/>
  <c r="B32" i="1"/>
  <c r="B31" i="1"/>
  <c r="B30" i="1"/>
  <c r="B29" i="1"/>
  <c r="B27" i="1"/>
  <c r="B23" i="1"/>
  <c r="B21" i="1"/>
  <c r="B19" i="1"/>
  <c r="B17" i="1"/>
  <c r="B11" i="1"/>
  <c r="B13" i="1" s="1"/>
  <c r="B15" i="1" s="1"/>
  <c r="C309" i="1"/>
  <c r="C311" i="1" s="1"/>
  <c r="C302" i="1"/>
  <c r="C304" i="1" s="1"/>
  <c r="C306" i="1" s="1"/>
  <c r="C297" i="1"/>
  <c r="C287" i="1"/>
  <c r="C286" i="1"/>
  <c r="C282" i="1"/>
  <c r="C276" i="1"/>
  <c r="C275" i="1"/>
  <c r="C274" i="1"/>
  <c r="C271" i="1"/>
  <c r="C262" i="1"/>
  <c r="C261" i="1"/>
  <c r="C260" i="1"/>
  <c r="C264" i="1" s="1"/>
  <c r="C252" i="1"/>
  <c r="C251" i="1"/>
  <c r="C250" i="1"/>
  <c r="C247" i="1"/>
  <c r="C246" i="1"/>
  <c r="C242" i="1"/>
  <c r="C241" i="1"/>
  <c r="C240" i="1"/>
  <c r="C238" i="1"/>
  <c r="C237" i="1"/>
  <c r="C232" i="1"/>
  <c r="C229" i="1"/>
  <c r="C226" i="1"/>
  <c r="C222" i="1"/>
  <c r="C221" i="1"/>
  <c r="C220" i="1"/>
  <c r="C216" i="1"/>
  <c r="C215" i="1"/>
  <c r="C214" i="1"/>
  <c r="C213" i="1"/>
  <c r="C212" i="1"/>
  <c r="C211" i="1"/>
  <c r="C206" i="1"/>
  <c r="C205" i="1"/>
  <c r="C204" i="1"/>
  <c r="C200" i="1"/>
  <c r="C199" i="1"/>
  <c r="C197" i="1"/>
  <c r="C196" i="1"/>
  <c r="C195" i="1"/>
  <c r="C193" i="1"/>
  <c r="C192" i="1"/>
  <c r="C188" i="1"/>
  <c r="C189" i="1" s="1"/>
  <c r="C182" i="1"/>
  <c r="C181" i="1"/>
  <c r="C180" i="1"/>
  <c r="C178" i="1"/>
  <c r="C177" i="1"/>
  <c r="C172" i="1"/>
  <c r="C171" i="1"/>
  <c r="C170" i="1"/>
  <c r="C169" i="1"/>
  <c r="C168" i="1"/>
  <c r="C167" i="1"/>
  <c r="C166" i="1"/>
  <c r="C160" i="1"/>
  <c r="C163" i="1" s="1"/>
  <c r="C159" i="1"/>
  <c r="C148" i="1"/>
  <c r="C147" i="1"/>
  <c r="C146" i="1"/>
  <c r="C145" i="1"/>
  <c r="C144" i="1"/>
  <c r="C143" i="1"/>
  <c r="C142" i="1"/>
  <c r="C139" i="1"/>
  <c r="C136" i="1"/>
  <c r="C135" i="1"/>
  <c r="C134" i="1"/>
  <c r="C133" i="1"/>
  <c r="C132" i="1"/>
  <c r="C131" i="1"/>
  <c r="C130" i="1"/>
  <c r="C126" i="1"/>
  <c r="C125" i="1"/>
  <c r="C124" i="1"/>
  <c r="C122" i="1"/>
  <c r="C121" i="1"/>
  <c r="C120" i="1"/>
  <c r="C119" i="1"/>
  <c r="C112" i="1"/>
  <c r="C85" i="1"/>
  <c r="C78" i="1"/>
  <c r="C80" i="1" s="1"/>
  <c r="C77" i="1"/>
  <c r="C69" i="1"/>
  <c r="C68" i="1"/>
  <c r="C67" i="1"/>
  <c r="C66" i="1"/>
  <c r="C71" i="1" s="1"/>
  <c r="C65" i="1"/>
  <c r="C61" i="1"/>
  <c r="C59" i="1"/>
  <c r="C58" i="1"/>
  <c r="C57" i="1"/>
  <c r="C56" i="1"/>
  <c r="C55" i="1"/>
  <c r="C54" i="1"/>
  <c r="C53" i="1"/>
  <c r="C48" i="1"/>
  <c r="C44" i="1"/>
  <c r="C43" i="1"/>
  <c r="C42" i="1"/>
  <c r="C41" i="1"/>
  <c r="C40" i="1"/>
  <c r="C39" i="1"/>
  <c r="C38" i="1"/>
  <c r="C34" i="1"/>
  <c r="C32" i="1"/>
  <c r="C31" i="1"/>
  <c r="C30" i="1"/>
  <c r="C29" i="1"/>
  <c r="C28" i="1"/>
  <c r="C27" i="1"/>
  <c r="C21" i="1"/>
  <c r="C18" i="1"/>
  <c r="C11" i="1"/>
  <c r="C13" i="1" s="1"/>
  <c r="C10" i="1"/>
  <c r="F309" i="1"/>
  <c r="F311" i="1" s="1"/>
  <c r="F302" i="1"/>
  <c r="F304" i="1" s="1"/>
  <c r="F306" i="1" s="1"/>
  <c r="F297" i="1"/>
  <c r="F287" i="1"/>
  <c r="F286" i="1"/>
  <c r="F285" i="1"/>
  <c r="F282" i="1"/>
  <c r="F277" i="1"/>
  <c r="F271" i="1"/>
  <c r="F261" i="1"/>
  <c r="F260" i="1"/>
  <c r="F251" i="1"/>
  <c r="F250" i="1"/>
  <c r="F246" i="1"/>
  <c r="F242" i="1"/>
  <c r="F241" i="1"/>
  <c r="F240" i="1"/>
  <c r="F238" i="1"/>
  <c r="F237" i="1"/>
  <c r="F229" i="1"/>
  <c r="F226" i="1"/>
  <c r="F223" i="1"/>
  <c r="F222" i="1"/>
  <c r="F221" i="1"/>
  <c r="F220" i="1"/>
  <c r="F216" i="1"/>
  <c r="F215" i="1"/>
  <c r="F213" i="1"/>
  <c r="F212" i="1"/>
  <c r="F211" i="1"/>
  <c r="F206" i="1"/>
  <c r="F205" i="1"/>
  <c r="F204" i="1"/>
  <c r="F200" i="1"/>
  <c r="F199" i="1"/>
  <c r="F197" i="1"/>
  <c r="F194" i="1"/>
  <c r="F193" i="1"/>
  <c r="F188" i="1"/>
  <c r="F189" i="1" s="1"/>
  <c r="F184" i="1"/>
  <c r="F172" i="1"/>
  <c r="F171" i="1"/>
  <c r="F170" i="1"/>
  <c r="F169" i="1"/>
  <c r="F168" i="1"/>
  <c r="F167" i="1"/>
  <c r="F166" i="1"/>
  <c r="F160" i="1"/>
  <c r="F148" i="1"/>
  <c r="F147" i="1"/>
  <c r="F145" i="1"/>
  <c r="F144" i="1"/>
  <c r="F143" i="1"/>
  <c r="F142" i="1"/>
  <c r="F139" i="1"/>
  <c r="F136" i="1"/>
  <c r="F134" i="1"/>
  <c r="F133" i="1"/>
  <c r="F137" i="1" s="1"/>
  <c r="F130" i="1"/>
  <c r="F125" i="1"/>
  <c r="F124" i="1"/>
  <c r="F122" i="1"/>
  <c r="F121" i="1"/>
  <c r="F120" i="1"/>
  <c r="F119" i="1"/>
  <c r="F112" i="1"/>
  <c r="F80" i="1"/>
  <c r="F77" i="1"/>
  <c r="F69" i="1"/>
  <c r="F68" i="1"/>
  <c r="F67" i="1"/>
  <c r="F66" i="1"/>
  <c r="F61" i="1"/>
  <c r="F59" i="1"/>
  <c r="F58" i="1"/>
  <c r="F57" i="1"/>
  <c r="F54" i="1"/>
  <c r="F53" i="1"/>
  <c r="F48" i="1"/>
  <c r="F37" i="1"/>
  <c r="F46" i="1" s="1"/>
  <c r="F34" i="1"/>
  <c r="F32" i="1"/>
  <c r="F31" i="1"/>
  <c r="F30" i="1"/>
  <c r="F28" i="1"/>
  <c r="F27" i="1"/>
  <c r="F21" i="1"/>
  <c r="F18" i="1"/>
  <c r="F22" i="1" s="1"/>
  <c r="F11" i="1"/>
  <c r="F13" i="1" s="1"/>
  <c r="F9" i="1"/>
  <c r="D309" i="1"/>
  <c r="D311" i="1" s="1"/>
  <c r="D302" i="1"/>
  <c r="D304" i="1" s="1"/>
  <c r="D306" i="1" s="1"/>
  <c r="D296" i="1"/>
  <c r="D295" i="1"/>
  <c r="D292" i="1"/>
  <c r="D287" i="1"/>
  <c r="D285" i="1"/>
  <c r="D286" i="1" s="1"/>
  <c r="D282" i="1"/>
  <c r="D276" i="1"/>
  <c r="D277" i="1" s="1"/>
  <c r="D271" i="1"/>
  <c r="D262" i="1"/>
  <c r="D261" i="1"/>
  <c r="D260" i="1"/>
  <c r="D252" i="1"/>
  <c r="D251" i="1"/>
  <c r="D250" i="1"/>
  <c r="D247" i="1"/>
  <c r="D253" i="1" s="1"/>
  <c r="D242" i="1"/>
  <c r="D241" i="1"/>
  <c r="D240" i="1"/>
  <c r="D238" i="1"/>
  <c r="D243" i="1" s="1"/>
  <c r="D237" i="1"/>
  <c r="D235" i="1"/>
  <c r="D232" i="1"/>
  <c r="D229" i="1"/>
  <c r="D226" i="1"/>
  <c r="D222" i="1"/>
  <c r="D221" i="1"/>
  <c r="D220" i="1"/>
  <c r="D223" i="1" s="1"/>
  <c r="D216" i="1"/>
  <c r="D215" i="1"/>
  <c r="D214" i="1"/>
  <c r="D212" i="1"/>
  <c r="D211" i="1"/>
  <c r="D206" i="1"/>
  <c r="D205" i="1"/>
  <c r="D204" i="1"/>
  <c r="D208" i="1" s="1"/>
  <c r="D200" i="1"/>
  <c r="D199" i="1"/>
  <c r="D197" i="1"/>
  <c r="D196" i="1"/>
  <c r="D194" i="1"/>
  <c r="D193" i="1"/>
  <c r="D188" i="1"/>
  <c r="D187" i="1"/>
  <c r="D186" i="1"/>
  <c r="D182" i="1"/>
  <c r="D181" i="1"/>
  <c r="D178" i="1"/>
  <c r="D172" i="1"/>
  <c r="D171" i="1"/>
  <c r="D170" i="1"/>
  <c r="D169" i="1"/>
  <c r="D167" i="1"/>
  <c r="D166" i="1"/>
  <c r="D160" i="1"/>
  <c r="D163" i="1" s="1"/>
  <c r="D148" i="1"/>
  <c r="D147" i="1"/>
  <c r="D142" i="1"/>
  <c r="D139" i="1"/>
  <c r="D136" i="1"/>
  <c r="D135" i="1"/>
  <c r="D134" i="1"/>
  <c r="D133" i="1"/>
  <c r="D132" i="1"/>
  <c r="D131" i="1"/>
  <c r="D130" i="1"/>
  <c r="D125" i="1"/>
  <c r="D124" i="1"/>
  <c r="D122" i="1"/>
  <c r="D121" i="1"/>
  <c r="D120" i="1"/>
  <c r="D119" i="1"/>
  <c r="D112" i="1"/>
  <c r="D81" i="1"/>
  <c r="D80" i="1"/>
  <c r="D77" i="1"/>
  <c r="D73" i="1"/>
  <c r="D69" i="1"/>
  <c r="D68" i="1"/>
  <c r="D67" i="1"/>
  <c r="D66" i="1"/>
  <c r="D61" i="1"/>
  <c r="D59" i="1"/>
  <c r="D58" i="1"/>
  <c r="D57" i="1"/>
  <c r="D54" i="1"/>
  <c r="D53" i="1"/>
  <c r="D48" i="1"/>
  <c r="D45" i="1"/>
  <c r="D44" i="1"/>
  <c r="D42" i="1"/>
  <c r="D41" i="1"/>
  <c r="D40" i="1"/>
  <c r="D39" i="1"/>
  <c r="D38" i="1"/>
  <c r="D34" i="1"/>
  <c r="D32" i="1"/>
  <c r="D31" i="1"/>
  <c r="D30" i="1"/>
  <c r="D28" i="1"/>
  <c r="D27" i="1"/>
  <c r="D21" i="1"/>
  <c r="D18" i="1"/>
  <c r="D13" i="1"/>
  <c r="D15" i="1" s="1"/>
  <c r="D11" i="1"/>
  <c r="C15" i="1" l="1"/>
  <c r="D22" i="1"/>
  <c r="D189" i="1"/>
  <c r="D297" i="1"/>
  <c r="F163" i="1"/>
  <c r="F264" i="1"/>
  <c r="F283" i="1" s="1"/>
  <c r="C208" i="1"/>
  <c r="C253" i="1"/>
  <c r="C277" i="1"/>
  <c r="C283" i="1" s="1"/>
  <c r="B22" i="1"/>
  <c r="B33" i="1"/>
  <c r="B35" i="1" s="1"/>
  <c r="D137" i="1"/>
  <c r="D184" i="1"/>
  <c r="C223" i="1"/>
  <c r="C233" i="1"/>
  <c r="C312" i="1"/>
  <c r="G127" i="1"/>
  <c r="D60" i="1"/>
  <c r="D62" i="1" s="1"/>
  <c r="F173" i="1"/>
  <c r="C137" i="1"/>
  <c r="B243" i="1"/>
  <c r="B253" i="1"/>
  <c r="G22" i="1"/>
  <c r="G71" i="1"/>
  <c r="G208" i="1"/>
  <c r="E255" i="1"/>
  <c r="E283" i="1"/>
  <c r="E150" i="1"/>
  <c r="E299" i="1" s="1"/>
  <c r="E109" i="1"/>
  <c r="D33" i="1"/>
  <c r="D35" i="1" s="1"/>
  <c r="D71" i="1"/>
  <c r="D149" i="1"/>
  <c r="D233" i="1"/>
  <c r="D255" i="1" s="1"/>
  <c r="D264" i="1"/>
  <c r="D283" i="1" s="1"/>
  <c r="F71" i="1"/>
  <c r="F217" i="1"/>
  <c r="C33" i="1"/>
  <c r="C35" i="1" s="1"/>
  <c r="C184" i="1"/>
  <c r="B127" i="1"/>
  <c r="B217" i="1"/>
  <c r="G217" i="1"/>
  <c r="G264" i="1"/>
  <c r="G283" i="1" s="1"/>
  <c r="D127" i="1"/>
  <c r="D173" i="1"/>
  <c r="D201" i="1"/>
  <c r="F127" i="1"/>
  <c r="F208" i="1"/>
  <c r="F312" i="1"/>
  <c r="C22" i="1"/>
  <c r="C60" i="1"/>
  <c r="C62" i="1" s="1"/>
  <c r="B46" i="1"/>
  <c r="B109" i="1" s="1"/>
  <c r="B113" i="1" s="1"/>
  <c r="B184" i="1"/>
  <c r="B201" i="1"/>
  <c r="B277" i="1"/>
  <c r="G149" i="1"/>
  <c r="G312" i="1"/>
  <c r="F149" i="1"/>
  <c r="C127" i="1"/>
  <c r="C173" i="1"/>
  <c r="D217" i="1"/>
  <c r="F15" i="1"/>
  <c r="F33" i="1"/>
  <c r="F35" i="1" s="1"/>
  <c r="F60" i="1"/>
  <c r="F62" i="1" s="1"/>
  <c r="F201" i="1"/>
  <c r="F253" i="1"/>
  <c r="C46" i="1"/>
  <c r="C109" i="1" s="1"/>
  <c r="C113" i="1" s="1"/>
  <c r="C149" i="1"/>
  <c r="C201" i="1"/>
  <c r="C217" i="1"/>
  <c r="C243" i="1"/>
  <c r="C255" i="1" s="1"/>
  <c r="B71" i="1"/>
  <c r="B137" i="1"/>
  <c r="B173" i="1"/>
  <c r="B223" i="1"/>
  <c r="B264" i="1"/>
  <c r="G15" i="1"/>
  <c r="G33" i="1"/>
  <c r="G35" i="1" s="1"/>
  <c r="G60" i="1"/>
  <c r="G62" i="1" s="1"/>
  <c r="G137" i="1"/>
  <c r="G201" i="1"/>
  <c r="G253" i="1"/>
  <c r="D312" i="1"/>
  <c r="B312" i="1"/>
  <c r="B255" i="1"/>
  <c r="C150" i="1" l="1"/>
  <c r="F109" i="1"/>
  <c r="F113" i="1" s="1"/>
  <c r="B283" i="1"/>
  <c r="F150" i="1"/>
  <c r="G150" i="1"/>
  <c r="E300" i="1"/>
  <c r="D150" i="1"/>
  <c r="D299" i="1" s="1"/>
  <c r="D109" i="1"/>
  <c r="D113" i="1" s="1"/>
  <c r="G109" i="1"/>
  <c r="G113" i="1" s="1"/>
  <c r="B150" i="1"/>
  <c r="B299" i="1" s="1"/>
  <c r="B300" i="1" s="1"/>
  <c r="B313" i="1" s="1"/>
  <c r="C299" i="1"/>
  <c r="C300" i="1" s="1"/>
  <c r="C313" i="1" s="1"/>
  <c r="F299" i="1" l="1"/>
  <c r="F300" i="1" s="1"/>
  <c r="F313" i="1" s="1"/>
  <c r="G299" i="1"/>
  <c r="G300" i="1" s="1"/>
  <c r="G313" i="1" s="1"/>
  <c r="D300" i="1"/>
  <c r="D313" i="1" s="1"/>
</calcChain>
</file>

<file path=xl/sharedStrings.xml><?xml version="1.0" encoding="utf-8"?>
<sst xmlns="http://schemas.openxmlformats.org/spreadsheetml/2006/main" count="306" uniqueCount="303">
  <si>
    <t>Income</t>
  </si>
  <si>
    <t xml:space="preserve">   10002 Interest/Dividends (deleted)</t>
  </si>
  <si>
    <t xml:space="preserve">   40000 Income</t>
  </si>
  <si>
    <t xml:space="preserve">      40001 Travel Endowment</t>
  </si>
  <si>
    <t xml:space="preserve">      40500 Donation Income</t>
  </si>
  <si>
    <t xml:space="preserve">      40506 Misc Revenue</t>
  </si>
  <si>
    <t xml:space="preserve">         41330 Newsletter (deleted)</t>
  </si>
  <si>
    <t xml:space="preserve">      Total 40506 Misc Revenue</t>
  </si>
  <si>
    <t xml:space="preserve">      40507 Credit Card Fees</t>
  </si>
  <si>
    <t xml:space="preserve">   Total 40000 Income</t>
  </si>
  <si>
    <t xml:space="preserve">   40600 FUF</t>
  </si>
  <si>
    <t xml:space="preserve">      40610 LC 10 &amp; U</t>
  </si>
  <si>
    <t xml:space="preserve">      40630 LC 11 &amp; Overs</t>
  </si>
  <si>
    <t xml:space="preserve">      40636 SC 10 &amp; Under</t>
  </si>
  <si>
    <t xml:space="preserve">      40638 SC 11-14 Champs</t>
  </si>
  <si>
    <t xml:space="preserve">      40640 Seniors</t>
  </si>
  <si>
    <t xml:space="preserve">   Total 40600 FUF</t>
  </si>
  <si>
    <t xml:space="preserve">   40620 LC 13 &amp; O (deleted)</t>
  </si>
  <si>
    <t xml:space="preserve">   40800 Meet Entry Fees</t>
  </si>
  <si>
    <t xml:space="preserve">      40805 OSI Champs</t>
  </si>
  <si>
    <t xml:space="preserve">         40810 LC 10 &amp; U</t>
  </si>
  <si>
    <t xml:space="preserve">         40820 LC 11 &amp; O</t>
  </si>
  <si>
    <t xml:space="preserve">         40840 LC 13 &amp; O (deleted)</t>
  </si>
  <si>
    <t xml:space="preserve">         40850 SC 10 &amp; U</t>
  </si>
  <si>
    <t xml:space="preserve">         40860 SC 11 - 14</t>
  </si>
  <si>
    <t xml:space="preserve">         40870 Seniors</t>
  </si>
  <si>
    <t xml:space="preserve">      Total 40805 OSI Champs</t>
  </si>
  <si>
    <t xml:space="preserve">      40880 Regular Meets - Entry Fees</t>
  </si>
  <si>
    <t xml:space="preserve">   Total 40800 Meet Entry Fees</t>
  </si>
  <si>
    <t xml:space="preserve">   41100 Registration</t>
  </si>
  <si>
    <t xml:space="preserve">      41110 Admin &amp; Other</t>
  </si>
  <si>
    <t xml:space="preserve">      41120 Clubs</t>
  </si>
  <si>
    <t xml:space="preserve">      41130 Clubs Seasonal</t>
  </si>
  <si>
    <t xml:space="preserve">      41140 Coaches</t>
  </si>
  <si>
    <t xml:space="preserve">      41150 Officials</t>
  </si>
  <si>
    <t xml:space="preserve">      41170 Outreach</t>
  </si>
  <si>
    <t xml:space="preserve">      41180 Y-R Athlete Reg</t>
  </si>
  <si>
    <t xml:space="preserve">      41190 Seasonal Athlete</t>
  </si>
  <si>
    <t xml:space="preserve">   Total 41100 Registration</t>
  </si>
  <si>
    <t xml:space="preserve">   41400 Sanctions</t>
  </si>
  <si>
    <t xml:space="preserve">   41500 Surcharges</t>
  </si>
  <si>
    <t xml:space="preserve">      41510 OSI Champs</t>
  </si>
  <si>
    <t xml:space="preserve">         41515 13 &amp; O (deleted)</t>
  </si>
  <si>
    <t xml:space="preserve">         41520 LC 10 &amp; U</t>
  </si>
  <si>
    <t xml:space="preserve">         41525 LC 11 &amp; O</t>
  </si>
  <si>
    <t xml:space="preserve">         41530 LC 12 &amp; U (deleted)</t>
  </si>
  <si>
    <t xml:space="preserve">         41535 LC 13 &amp; O (deleted)</t>
  </si>
  <si>
    <t xml:space="preserve">         41540 SC 10 &amp; U</t>
  </si>
  <si>
    <t xml:space="preserve">         41545 SC 11 - 14</t>
  </si>
  <si>
    <t xml:space="preserve">         41550 SC Seniors</t>
  </si>
  <si>
    <t xml:space="preserve">      Total 41510 OSI Champs</t>
  </si>
  <si>
    <t xml:space="preserve">      41560 Surcharges (Non Champ)</t>
  </si>
  <si>
    <t xml:space="preserve">   Total 41500 Surcharges</t>
  </si>
  <si>
    <t xml:space="preserve">   41600 All Star Revenue - Athlete Portion</t>
  </si>
  <si>
    <t xml:space="preserve">      41610 Camps</t>
  </si>
  <si>
    <t xml:space="preserve">      41615 All Star Training</t>
  </si>
  <si>
    <t xml:space="preserve">      41620 Top Five Ceremony</t>
  </si>
  <si>
    <t xml:space="preserve">      41630 All Stars Winter</t>
  </si>
  <si>
    <t xml:space="preserve">      41640 Western Zone</t>
  </si>
  <si>
    <t xml:space="preserve">      45000 Reg XII (deleted)</t>
  </si>
  <si>
    <t xml:space="preserve">   45020 Billable Expense Income (deleted)</t>
  </si>
  <si>
    <t xml:space="preserve">   45030 Change in Value</t>
  </si>
  <si>
    <t xml:space="preserve">   45050 Columbia Bank (deleted)</t>
  </si>
  <si>
    <t xml:space="preserve">   45060 Dividends (deleted)</t>
  </si>
  <si>
    <t xml:space="preserve">      45070 Payne Webber A (deleted)</t>
  </si>
  <si>
    <t xml:space="preserve">   Total 45060 Dividends (deleted)</t>
  </si>
  <si>
    <t xml:space="preserve">   45080 Interest</t>
  </si>
  <si>
    <t xml:space="preserve">      46020 US Bank (deleted)</t>
  </si>
  <si>
    <t xml:space="preserve">   Total 45080 Interest</t>
  </si>
  <si>
    <t xml:space="preserve">   46020 Realized Gain/Loss on Redemption of CDs</t>
  </si>
  <si>
    <t xml:space="preserve">   46040 Markup</t>
  </si>
  <si>
    <t xml:space="preserve">   46060 Sales of Product Income (deleted)</t>
  </si>
  <si>
    <t xml:space="preserve">   46070 STFSC (deleted)</t>
  </si>
  <si>
    <t xml:space="preserve">   46080 Unapplied Cash Payment Income</t>
  </si>
  <si>
    <t xml:space="preserve">   46090 Uncategorized Income (deleted)</t>
  </si>
  <si>
    <t xml:space="preserve">   46100 Uncategorized Income-1</t>
  </si>
  <si>
    <t xml:space="preserve">   46110 _DivInc</t>
  </si>
  <si>
    <t xml:space="preserve">   46120 _DivIncTaxFree (deleted)</t>
  </si>
  <si>
    <t xml:space="preserve">   46130 _EmpStkOptInc</t>
  </si>
  <si>
    <t xml:space="preserve">   46140 _EmpStkOptIncSpouse</t>
  </si>
  <si>
    <t xml:space="preserve">   46150 _ESPP Self Income</t>
  </si>
  <si>
    <t xml:space="preserve">   46160 _ESPP Spouse Income</t>
  </si>
  <si>
    <t xml:space="preserve">   46170 _IntInc</t>
  </si>
  <si>
    <t xml:space="preserve">   46180 _IntIncTaxFree (deleted)</t>
  </si>
  <si>
    <t xml:space="preserve">   46190 _LT CapGnDst</t>
  </si>
  <si>
    <t xml:space="preserve">   46220 _MT CapGnDst</t>
  </si>
  <si>
    <t xml:space="preserve">   46230 _RlzdGain</t>
  </si>
  <si>
    <t xml:space="preserve">   46240 _ST CapGnDst</t>
  </si>
  <si>
    <t xml:space="preserve">   46250 _UnrlzdGain</t>
  </si>
  <si>
    <t xml:space="preserve">   Billable Expense Income</t>
  </si>
  <si>
    <t xml:space="preserve">   Billable Expense Income (deleted-1)</t>
  </si>
  <si>
    <t xml:space="preserve">   Billable Expense Income (deleted-2)</t>
  </si>
  <si>
    <t xml:space="preserve">   Billable Expense Income (deleted-3)</t>
  </si>
  <si>
    <t xml:space="preserve">   Sales of Product Income</t>
  </si>
  <si>
    <t xml:space="preserve">   Sales of Product Income (deleted-1)</t>
  </si>
  <si>
    <t xml:space="preserve">   Sales of Product Income (deleted-2)</t>
  </si>
  <si>
    <t xml:space="preserve">   Sales of Product Income (deleted-3)</t>
  </si>
  <si>
    <t>Total Income</t>
  </si>
  <si>
    <t>Cost of Goods Sold</t>
  </si>
  <si>
    <t xml:space="preserve">   46260 Cost of Goods Sold</t>
  </si>
  <si>
    <t>Total Cost of Goods Sold</t>
  </si>
  <si>
    <t>Gross Profit</t>
  </si>
  <si>
    <t>Expenses</t>
  </si>
  <si>
    <t xml:space="preserve">   60200 ALL-STAR</t>
  </si>
  <si>
    <t xml:space="preserve">      60100 All Star Hotel (deleted)</t>
  </si>
  <si>
    <t xml:space="preserve">      60230 All Stars - Winter</t>
  </si>
  <si>
    <t xml:space="preserve">         60231 Lodging</t>
  </si>
  <si>
    <t xml:space="preserve">         60232 Clothing &amp; gear</t>
  </si>
  <si>
    <t xml:space="preserve">         60233 Transportation</t>
  </si>
  <si>
    <t xml:space="preserve">         60234 Coach stipend</t>
  </si>
  <si>
    <t xml:space="preserve">         60236 Entertainment</t>
  </si>
  <si>
    <t xml:space="preserve">         60240 Food &amp; drink</t>
  </si>
  <si>
    <t xml:space="preserve">         60242 Misc</t>
  </si>
  <si>
    <t xml:space="preserve">         60244 Pool rental</t>
  </si>
  <si>
    <t xml:space="preserve">      Total 60230 All Stars - Winter</t>
  </si>
  <si>
    <t xml:space="preserve">      60250 Western Zone</t>
  </si>
  <si>
    <t xml:space="preserve">         60251 Lodging (WZ)</t>
  </si>
  <si>
    <t xml:space="preserve">         60252 Clothing &amp; gear</t>
  </si>
  <si>
    <t xml:space="preserve">         60254 Coach stipend</t>
  </si>
  <si>
    <t xml:space="preserve">         60256 Entertainment</t>
  </si>
  <si>
    <t xml:space="preserve">         60260 Food &amp; drink</t>
  </si>
  <si>
    <t xml:space="preserve">         60262 Misc</t>
  </si>
  <si>
    <t xml:space="preserve">         60330 Travel - Western Zone</t>
  </si>
  <si>
    <t xml:space="preserve">      Total 60250 Western Zone</t>
  </si>
  <si>
    <t xml:space="preserve">      60400 Top 5</t>
  </si>
  <si>
    <t xml:space="preserve">      60510 Sen Training</t>
  </si>
  <si>
    <t xml:space="preserve">         60511 Transportation (ST)</t>
  </si>
  <si>
    <t xml:space="preserve">         60512 Lodging (ST)</t>
  </si>
  <si>
    <t xml:space="preserve">         60513 Food (ST)</t>
  </si>
  <si>
    <t xml:space="preserve">         60514 Entertainment (ST)</t>
  </si>
  <si>
    <t xml:space="preserve">         60515 Gear (ST)</t>
  </si>
  <si>
    <t xml:space="preserve">         60516 Coach Stipend (ST)</t>
  </si>
  <si>
    <t xml:space="preserve">         60518 Misc (ST)</t>
  </si>
  <si>
    <t xml:space="preserve">      Total 60510 Sen Training</t>
  </si>
  <si>
    <t xml:space="preserve">   Total 60200 ALL-STAR</t>
  </si>
  <si>
    <t xml:space="preserve">   60210 Region XII (deleted)</t>
  </si>
  <si>
    <t xml:space="preserve">   60211 Reg XII Lodging (deleted)</t>
  </si>
  <si>
    <t xml:space="preserve">   60212 Gear (Reg XII) (deleted)</t>
  </si>
  <si>
    <t xml:space="preserve">   60214 Coach stipend (from Reg XII days)</t>
  </si>
  <si>
    <t xml:space="preserve">   60219 Food &amp; Drink (deleted)</t>
  </si>
  <si>
    <t xml:space="preserve">   60220 Misc (deleted)</t>
  </si>
  <si>
    <t xml:space="preserve">   60500 Camps</t>
  </si>
  <si>
    <t xml:space="preserve">      60505 Other Camps</t>
  </si>
  <si>
    <t xml:space="preserve">      60506 Diversity Camp</t>
  </si>
  <si>
    <t xml:space="preserve">      60520 Other Miscellaneous Service Cost (deleted)</t>
  </si>
  <si>
    <t xml:space="preserve">      60540 10 &amp; Under Camp (deleted)</t>
  </si>
  <si>
    <t xml:space="preserve">   Total 60500 Camps</t>
  </si>
  <si>
    <t xml:space="preserve">   60640 LSC Admin</t>
  </si>
  <si>
    <t xml:space="preserve">      60650 Governance</t>
  </si>
  <si>
    <t xml:space="preserve">      60800 Club Leadership</t>
  </si>
  <si>
    <t xml:space="preserve">      61110 Gen Chair Exp</t>
  </si>
  <si>
    <t xml:space="preserve">      61200 Other</t>
  </si>
  <si>
    <t xml:space="preserve">      61320 H.O.D.</t>
  </si>
  <si>
    <t xml:space="preserve">      61340 Convention</t>
  </si>
  <si>
    <t xml:space="preserve">      61350 Workshops</t>
  </si>
  <si>
    <t xml:space="preserve">   Total 60640 LSC Admin</t>
  </si>
  <si>
    <t xml:space="preserve">   61500 Membership</t>
  </si>
  <si>
    <t xml:space="preserve">      61510 Club Seasonal</t>
  </si>
  <si>
    <t xml:space="preserve">      61520 Clubs</t>
  </si>
  <si>
    <t xml:space="preserve">      61530 Non Athlete</t>
  </si>
  <si>
    <t xml:space="preserve">      61540 Organization</t>
  </si>
  <si>
    <t xml:space="preserve">      61550 Outreach</t>
  </si>
  <si>
    <t xml:space="preserve">      61560 Regular Athlete</t>
  </si>
  <si>
    <t xml:space="preserve">      61570 Seasonal Athlete</t>
  </si>
  <si>
    <t xml:space="preserve">      61580 Lifetime Membership</t>
  </si>
  <si>
    <t xml:space="preserve">   Total 61500 Membership</t>
  </si>
  <si>
    <t xml:space="preserve">   61700 Misc Expense</t>
  </si>
  <si>
    <t xml:space="preserve">      61705 Swim Guide</t>
  </si>
  <si>
    <t xml:space="preserve">      61710 Uncategorized Expense</t>
  </si>
  <si>
    <t xml:space="preserve">   Total 61700 Misc Expense</t>
  </si>
  <si>
    <t xml:space="preserve">   61800 National Travel - Athletes</t>
  </si>
  <si>
    <t xml:space="preserve">      61810 Other</t>
  </si>
  <si>
    <t xml:space="preserve">      61820 Summer - Juniors</t>
  </si>
  <si>
    <t xml:space="preserve">      61830 Summer - Seniors</t>
  </si>
  <si>
    <t xml:space="preserve">      61840 Olympic Trials</t>
  </si>
  <si>
    <t xml:space="preserve">      61850 Summer - US Open</t>
  </si>
  <si>
    <t xml:space="preserve">      61900 Futures</t>
  </si>
  <si>
    <t xml:space="preserve">      62000 Winter Season</t>
  </si>
  <si>
    <t xml:space="preserve">      62010 Winter - Juniors</t>
  </si>
  <si>
    <t xml:space="preserve">      62030 Winter - Seniors</t>
  </si>
  <si>
    <t xml:space="preserve">   Total 61800 National Travel - Athletes</t>
  </si>
  <si>
    <t xml:space="preserve">   62500 Coaches</t>
  </si>
  <si>
    <t xml:space="preserve">      62505 Safety Training Expense</t>
  </si>
  <si>
    <t xml:space="preserve">      62510 Coaches Ed/Clinic</t>
  </si>
  <si>
    <t xml:space="preserve">      62520 OSCA Expenses</t>
  </si>
  <si>
    <t xml:space="preserve">      62522 ASCA Expenses</t>
  </si>
  <si>
    <t xml:space="preserve">   Total 62500 Coaches</t>
  </si>
  <si>
    <t xml:space="preserve">   64000 Office</t>
  </si>
  <si>
    <t xml:space="preserve">      64002 Equipment</t>
  </si>
  <si>
    <t xml:space="preserve">      64005 Rent</t>
  </si>
  <si>
    <t xml:space="preserve">      64100 Bank Charges</t>
  </si>
  <si>
    <t xml:space="preserve">      64200 Financial Services</t>
  </si>
  <si>
    <t xml:space="preserve">      64300 Miscellaneous</t>
  </si>
  <si>
    <t xml:space="preserve">      64600 Online Banking Fee</t>
  </si>
  <si>
    <t xml:space="preserve">   Total 64000 Office</t>
  </si>
  <si>
    <t xml:space="preserve">   65000 Officials</t>
  </si>
  <si>
    <t xml:space="preserve">      65005 Officials - Other</t>
  </si>
  <si>
    <t xml:space="preserve">      65100 Officials Mentoring</t>
  </si>
  <si>
    <t xml:space="preserve">      65200 Officials Travel</t>
  </si>
  <si>
    <t xml:space="preserve">   Total 65000 Officials</t>
  </si>
  <si>
    <t xml:space="preserve">   67000 OSI Meets</t>
  </si>
  <si>
    <t xml:space="preserve">      67100 Meet Supplies &amp; Awards</t>
  </si>
  <si>
    <t xml:space="preserve">      67200 Facility Use Charge</t>
  </si>
  <si>
    <t xml:space="preserve">         67210 LC 11 &amp; Overs</t>
  </si>
  <si>
    <t xml:space="preserve">         67220 LC 13 &amp; O (deleted)</t>
  </si>
  <si>
    <t xml:space="preserve">         67240 SC 11 - 14</t>
  </si>
  <si>
    <t xml:space="preserve">         67250 SC Seniors</t>
  </si>
  <si>
    <t xml:space="preserve">      Total 67200 Facility Use Charge</t>
  </si>
  <si>
    <t xml:space="preserve">      68000 Meet Expenses</t>
  </si>
  <si>
    <t xml:space="preserve">         68100 LC 10 &amp; U</t>
  </si>
  <si>
    <t xml:space="preserve">         68200 LC 11 &amp; O</t>
  </si>
  <si>
    <t xml:space="preserve">         68400 LC 13 &amp; O (deleted)</t>
  </si>
  <si>
    <t xml:space="preserve">         68500 SC 10 &amp; U</t>
  </si>
  <si>
    <t xml:space="preserve">         68600 SC 11-14</t>
  </si>
  <si>
    <t xml:space="preserve">         68700 SC - Seniors</t>
  </si>
  <si>
    <t xml:space="preserve">      Total 68000 Meet Expenses</t>
  </si>
  <si>
    <t xml:space="preserve">      69000 Pool Rental</t>
  </si>
  <si>
    <t xml:space="preserve">         69100 LC 10 &amp; U</t>
  </si>
  <si>
    <t xml:space="preserve">         69200 LC 11 &amp; O</t>
  </si>
  <si>
    <t xml:space="preserve">         69300 LC 12 &amp; U (deleted)</t>
  </si>
  <si>
    <t xml:space="preserve">         69400 LC 13 &amp; O (deleted)</t>
  </si>
  <si>
    <t xml:space="preserve">         69500 SC 10 &amp; U</t>
  </si>
  <si>
    <t xml:space="preserve">         69600 SC 11 - 14</t>
  </si>
  <si>
    <t xml:space="preserve">         69700 SC Seniors</t>
  </si>
  <si>
    <t xml:space="preserve">      Total 69000 Pool Rental</t>
  </si>
  <si>
    <t xml:space="preserve">      79120 Travel Endowment</t>
  </si>
  <si>
    <t xml:space="preserve">   Total 67000 OSI Meets</t>
  </si>
  <si>
    <t xml:space="preserve">   68300 LC 12 &amp; U (deleted)</t>
  </si>
  <si>
    <t xml:space="preserve">   70000 Payroll</t>
  </si>
  <si>
    <t xml:space="preserve">      60651 Officer Salary</t>
  </si>
  <si>
    <t xml:space="preserve">         70110 Manager</t>
  </si>
  <si>
    <t xml:space="preserve">         70120 Assistant</t>
  </si>
  <si>
    <t xml:space="preserve">         70130 Webmaster</t>
  </si>
  <si>
    <t xml:space="preserve">         70140 Wages (deleted)</t>
  </si>
  <si>
    <t xml:space="preserve">      Total 60651 Officer Salary</t>
  </si>
  <si>
    <t xml:space="preserve">      70200 Benefits</t>
  </si>
  <si>
    <t xml:space="preserve">      70250 Fed Withholding</t>
  </si>
  <si>
    <t xml:space="preserve">      70300 FICA</t>
  </si>
  <si>
    <t xml:space="preserve">      70400 Medicare (deleted)</t>
  </si>
  <si>
    <t xml:space="preserve">      70640 State Withhold</t>
  </si>
  <si>
    <t xml:space="preserve">      70650 Unemployment (deleted)</t>
  </si>
  <si>
    <t xml:space="preserve">      70660 Workman comp</t>
  </si>
  <si>
    <t xml:space="preserve">      70670 Payroll Tax Expense (deleted)</t>
  </si>
  <si>
    <t xml:space="preserve">      85300 Payroll Expenses (deleted)</t>
  </si>
  <si>
    <t xml:space="preserve">         85000 Payroll Taxes -other (deleted)</t>
  </si>
  <si>
    <t xml:space="preserve">         85100 Wages (deleted)</t>
  </si>
  <si>
    <t xml:space="preserve">         85200 Taxes (deleted)</t>
  </si>
  <si>
    <t xml:space="preserve">      Total 85300 Payroll Expenses (deleted)</t>
  </si>
  <si>
    <t xml:space="preserve">      Salary</t>
  </si>
  <si>
    <t xml:space="preserve">         Assistant</t>
  </si>
  <si>
    <t xml:space="preserve">         Manager</t>
  </si>
  <si>
    <t xml:space="preserve">         Webmaster</t>
  </si>
  <si>
    <t xml:space="preserve">      Total Salary</t>
  </si>
  <si>
    <t xml:space="preserve">   Total 70000 Payroll</t>
  </si>
  <si>
    <t xml:space="preserve">   71005 Payroll Expenses</t>
  </si>
  <si>
    <t xml:space="preserve">      71100 Taxes</t>
  </si>
  <si>
    <t xml:space="preserve">   Total 71005 Payroll Expenses</t>
  </si>
  <si>
    <t xml:space="preserve">   75000 Taxes Other</t>
  </si>
  <si>
    <t xml:space="preserve">   79100 Transfer</t>
  </si>
  <si>
    <t xml:space="preserve">   79150 US Open (deleted)</t>
  </si>
  <si>
    <t xml:space="preserve">   79160 _Accrued Int (deleted)</t>
  </si>
  <si>
    <t xml:space="preserve">   79170 _IntExp (deleted)</t>
  </si>
  <si>
    <t xml:space="preserve">   85000 Payroll Taxes - Other</t>
  </si>
  <si>
    <t xml:space="preserve">   89000 Uncategorized Expense</t>
  </si>
  <si>
    <t xml:space="preserve">   Salary</t>
  </si>
  <si>
    <t xml:space="preserve">      60652 Officer Mgt</t>
  </si>
  <si>
    <t xml:space="preserve">      70140 Officer Salary</t>
  </si>
  <si>
    <t xml:space="preserve">   Total Salary</t>
  </si>
  <si>
    <t>Total Expenses</t>
  </si>
  <si>
    <t>Net Operating Income</t>
  </si>
  <si>
    <t>Other Income</t>
  </si>
  <si>
    <t xml:space="preserve">   41000 T. E. Interest &amp; Dividends</t>
  </si>
  <si>
    <t xml:space="preserve">      46012 Market Value Adjustment (deleted)</t>
  </si>
  <si>
    <t xml:space="preserve">   Total 41000 T. E. Interest &amp; Dividends</t>
  </si>
  <si>
    <t xml:space="preserve">   47000 Travel Endowment (deleted)</t>
  </si>
  <si>
    <t>Total Other Income</t>
  </si>
  <si>
    <t>Other Expenses</t>
  </si>
  <si>
    <t xml:space="preserve">   79180 Other Miscellaneous Expense (deleted)</t>
  </si>
  <si>
    <t xml:space="preserve">   89001 Other Miscellaneous Expense</t>
  </si>
  <si>
    <t xml:space="preserve">   90000 Reconciliation Discrepancies</t>
  </si>
  <si>
    <t>Total Other Expenses</t>
  </si>
  <si>
    <t>Net Other Income</t>
  </si>
  <si>
    <t>Net Income</t>
  </si>
  <si>
    <t>Oregon Swimming Inc.</t>
  </si>
  <si>
    <t>Profit and Loss</t>
  </si>
  <si>
    <t>2019 frcst</t>
  </si>
  <si>
    <t>2017 act</t>
  </si>
  <si>
    <t>2016 act</t>
  </si>
  <si>
    <t>2015 act</t>
  </si>
  <si>
    <t>2020 frcst</t>
  </si>
  <si>
    <t>2015, 2016, 2017, 2018, 2019, 2020</t>
  </si>
  <si>
    <t>2018 Act&amp; Frcst</t>
  </si>
  <si>
    <t xml:space="preserve">   Total 41600 All Star Revenue - Athlete</t>
  </si>
  <si>
    <t>Comments</t>
  </si>
  <si>
    <t>Timing</t>
  </si>
  <si>
    <t>Transfer of Travel Endowment Dividend/Interest to OSI</t>
  </si>
  <si>
    <t xml:space="preserve">2019 WZ Host  </t>
  </si>
  <si>
    <t>2020 Olympic Trials</t>
  </si>
  <si>
    <t>Open Water Support</t>
  </si>
  <si>
    <t>Disability Camp/Meet Initiative</t>
  </si>
  <si>
    <t>XXXXX Open Water Initiative</t>
  </si>
  <si>
    <t>Grants to Support OW Events</t>
  </si>
  <si>
    <t>MHCC Fee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</si>
</sst>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14" fontId="1" fillId="0" borderId="0" xfId="0" applyNumberFormat="1" applyFont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5"/>
  <sheetViews>
    <sheetView tabSelected="1" topLeftCell="A17" zoomScaleNormal="100" workbookViewId="0">
      <selection activeCell="F314" sqref="F314"/>
    </sheetView>
  </sheetViews>
  <sheetFormatPr defaultRowHeight="12.75" x14ac:dyDescent="0.25"/>
  <cols>
    <col min="1" max="1" width="41.5703125" style="4" customWidth="1"/>
    <col min="2" max="7" width="14.140625" style="2" customWidth="1"/>
    <col min="8" max="8" width="30.140625" style="3" customWidth="1"/>
    <col min="9" max="16384" width="9.140625" style="4"/>
  </cols>
  <sheetData>
    <row r="1" spans="1:8" ht="15.75" x14ac:dyDescent="0.25">
      <c r="A1" s="16" t="s">
        <v>283</v>
      </c>
      <c r="B1" s="17"/>
      <c r="C1" s="17"/>
      <c r="D1" s="18"/>
      <c r="E1" s="18"/>
      <c r="F1" s="18"/>
      <c r="G1" s="18"/>
      <c r="H1" s="19"/>
    </row>
    <row r="2" spans="1:8" x14ac:dyDescent="0.25">
      <c r="A2" s="20" t="s">
        <v>284</v>
      </c>
      <c r="B2" s="17"/>
      <c r="C2" s="17"/>
      <c r="D2" s="18"/>
      <c r="E2" s="18"/>
      <c r="F2" s="18"/>
      <c r="G2" s="18"/>
      <c r="H2" s="19"/>
    </row>
    <row r="3" spans="1:8" x14ac:dyDescent="0.25">
      <c r="A3" s="20" t="s">
        <v>290</v>
      </c>
      <c r="B3" s="17"/>
      <c r="C3" s="17"/>
      <c r="D3" s="18"/>
      <c r="E3" s="18"/>
      <c r="F3" s="18"/>
      <c r="G3" s="18"/>
      <c r="H3" s="19"/>
    </row>
    <row r="5" spans="1:8" x14ac:dyDescent="0.25">
      <c r="A5" s="5"/>
      <c r="B5" s="6" t="s">
        <v>288</v>
      </c>
      <c r="C5" s="6" t="s">
        <v>287</v>
      </c>
      <c r="D5" s="6" t="s">
        <v>286</v>
      </c>
      <c r="E5" s="7" t="s">
        <v>291</v>
      </c>
      <c r="F5" s="6" t="s">
        <v>285</v>
      </c>
      <c r="G5" s="7" t="s">
        <v>289</v>
      </c>
      <c r="H5" s="8" t="s">
        <v>293</v>
      </c>
    </row>
    <row r="6" spans="1:8" x14ac:dyDescent="0.25">
      <c r="A6" s="8" t="s">
        <v>0</v>
      </c>
      <c r="B6" s="9"/>
      <c r="C6" s="9"/>
      <c r="D6" s="9"/>
      <c r="F6" s="9"/>
      <c r="G6" s="9"/>
    </row>
    <row r="7" spans="1:8" hidden="1" x14ac:dyDescent="0.25">
      <c r="A7" s="8" t="s">
        <v>1</v>
      </c>
      <c r="B7" s="9"/>
      <c r="C7" s="9"/>
      <c r="D7" s="9"/>
      <c r="F7" s="9"/>
      <c r="G7" s="9"/>
    </row>
    <row r="8" spans="1:8" x14ac:dyDescent="0.25">
      <c r="A8" s="8" t="s">
        <v>2</v>
      </c>
      <c r="B8" s="9"/>
      <c r="C8" s="9"/>
      <c r="D8" s="9"/>
      <c r="F8" s="9"/>
      <c r="G8" s="9"/>
    </row>
    <row r="9" spans="1:8" x14ac:dyDescent="0.25">
      <c r="A9" s="8" t="s">
        <v>3</v>
      </c>
      <c r="B9" s="9"/>
      <c r="C9" s="9"/>
      <c r="D9" s="9"/>
      <c r="F9" s="9">
        <f>38000</f>
        <v>38000</v>
      </c>
      <c r="G9" s="9">
        <f>38000</f>
        <v>38000</v>
      </c>
    </row>
    <row r="10" spans="1:8" x14ac:dyDescent="0.25">
      <c r="A10" s="8" t="s">
        <v>4</v>
      </c>
      <c r="B10" s="9"/>
      <c r="C10" s="9">
        <f>2855</f>
        <v>2855</v>
      </c>
      <c r="D10" s="9"/>
      <c r="F10" s="9"/>
      <c r="G10" s="9"/>
    </row>
    <row r="11" spans="1:8" x14ac:dyDescent="0.25">
      <c r="A11" s="8" t="s">
        <v>5</v>
      </c>
      <c r="B11" s="9">
        <f>4637</f>
        <v>4637</v>
      </c>
      <c r="C11" s="9">
        <f>29900.47</f>
        <v>29900.47</v>
      </c>
      <c r="D11" s="9">
        <f>24506.5</f>
        <v>24506.5</v>
      </c>
      <c r="E11" s="2">
        <f>10293+824</f>
        <v>11117</v>
      </c>
      <c r="F11" s="9">
        <f>8520</f>
        <v>8520</v>
      </c>
      <c r="G11" s="9">
        <f>8520</f>
        <v>8520</v>
      </c>
    </row>
    <row r="12" spans="1:8" hidden="1" x14ac:dyDescent="0.25">
      <c r="A12" s="8" t="s">
        <v>6</v>
      </c>
      <c r="B12" s="9"/>
      <c r="C12" s="9"/>
      <c r="D12" s="9"/>
      <c r="F12" s="9"/>
      <c r="G12" s="9"/>
    </row>
    <row r="13" spans="1:8" x14ac:dyDescent="0.25">
      <c r="A13" s="8" t="s">
        <v>7</v>
      </c>
      <c r="B13" s="10">
        <f t="shared" ref="B13:G13" si="0">(B11)+(B12)</f>
        <v>4637</v>
      </c>
      <c r="C13" s="10">
        <f t="shared" si="0"/>
        <v>29900.47</v>
      </c>
      <c r="D13" s="11">
        <f t="shared" si="0"/>
        <v>24506.5</v>
      </c>
      <c r="E13" s="11">
        <f t="shared" si="0"/>
        <v>11117</v>
      </c>
      <c r="F13" s="10">
        <f t="shared" si="0"/>
        <v>8520</v>
      </c>
      <c r="G13" s="10">
        <f t="shared" si="0"/>
        <v>8520</v>
      </c>
    </row>
    <row r="14" spans="1:8" x14ac:dyDescent="0.25">
      <c r="A14" s="8" t="s">
        <v>8</v>
      </c>
      <c r="B14" s="9"/>
      <c r="C14" s="9"/>
      <c r="D14" s="9"/>
      <c r="E14" s="9"/>
      <c r="F14" s="9"/>
      <c r="G14" s="9"/>
    </row>
    <row r="15" spans="1:8" ht="25.5" x14ac:dyDescent="0.25">
      <c r="A15" s="8" t="s">
        <v>9</v>
      </c>
      <c r="B15" s="10">
        <f t="shared" ref="B15:G15" si="1">((((B8)+(B9))+(B10))+(B13))+(B14)</f>
        <v>4637</v>
      </c>
      <c r="C15" s="10">
        <f t="shared" si="1"/>
        <v>32755.47</v>
      </c>
      <c r="D15" s="11">
        <f t="shared" si="1"/>
        <v>24506.5</v>
      </c>
      <c r="E15" s="11">
        <f t="shared" si="1"/>
        <v>11117</v>
      </c>
      <c r="F15" s="12">
        <f t="shared" si="1"/>
        <v>46520</v>
      </c>
      <c r="G15" s="12">
        <f t="shared" si="1"/>
        <v>46520</v>
      </c>
      <c r="H15" s="3" t="s">
        <v>295</v>
      </c>
    </row>
    <row r="16" spans="1:8" x14ac:dyDescent="0.25">
      <c r="A16" s="8" t="s">
        <v>10</v>
      </c>
      <c r="B16" s="9"/>
      <c r="C16" s="9"/>
      <c r="D16" s="9"/>
      <c r="F16" s="9"/>
      <c r="G16" s="9"/>
    </row>
    <row r="17" spans="1:7" x14ac:dyDescent="0.25">
      <c r="A17" s="8" t="s">
        <v>11</v>
      </c>
      <c r="B17" s="9">
        <f>3016</f>
        <v>3016</v>
      </c>
      <c r="C17" s="9"/>
      <c r="D17" s="9"/>
      <c r="F17" s="9"/>
      <c r="G17" s="9"/>
    </row>
    <row r="18" spans="1:7" x14ac:dyDescent="0.25">
      <c r="A18" s="8" t="s">
        <v>12</v>
      </c>
      <c r="B18" s="9"/>
      <c r="C18" s="9">
        <f>7568</f>
        <v>7568</v>
      </c>
      <c r="D18" s="9">
        <f>13277</f>
        <v>13277</v>
      </c>
      <c r="E18" s="2">
        <v>10500</v>
      </c>
      <c r="F18" s="9">
        <f>14000</f>
        <v>14000</v>
      </c>
      <c r="G18" s="9">
        <f>14000</f>
        <v>14000</v>
      </c>
    </row>
    <row r="19" spans="1:7" x14ac:dyDescent="0.25">
      <c r="A19" s="8" t="s">
        <v>13</v>
      </c>
      <c r="B19" s="9">
        <f>3823</f>
        <v>3823</v>
      </c>
      <c r="C19" s="9"/>
      <c r="D19" s="9"/>
      <c r="F19" s="9"/>
      <c r="G19" s="9"/>
    </row>
    <row r="20" spans="1:7" x14ac:dyDescent="0.25">
      <c r="A20" s="8" t="s">
        <v>14</v>
      </c>
      <c r="B20" s="9"/>
      <c r="C20" s="9"/>
      <c r="D20" s="9"/>
      <c r="E20" s="2">
        <v>5180</v>
      </c>
      <c r="F20" s="9"/>
      <c r="G20" s="9"/>
    </row>
    <row r="21" spans="1:7" x14ac:dyDescent="0.25">
      <c r="A21" s="8" t="s">
        <v>15</v>
      </c>
      <c r="B21" s="9">
        <f>4770</f>
        <v>4770</v>
      </c>
      <c r="C21" s="9">
        <f>4655</f>
        <v>4655</v>
      </c>
      <c r="D21" s="9">
        <f>8806</f>
        <v>8806</v>
      </c>
      <c r="F21" s="9">
        <f>8400</f>
        <v>8400</v>
      </c>
      <c r="G21" s="9">
        <f>8400</f>
        <v>8400</v>
      </c>
    </row>
    <row r="22" spans="1:7" x14ac:dyDescent="0.25">
      <c r="A22" s="8" t="s">
        <v>16</v>
      </c>
      <c r="B22" s="10">
        <f t="shared" ref="B22:G22" si="2">(((((B16)+(B17))+(B18))+(B19))+(B20))+(B21)</f>
        <v>11609</v>
      </c>
      <c r="C22" s="10">
        <f t="shared" si="2"/>
        <v>12223</v>
      </c>
      <c r="D22" s="11">
        <f t="shared" si="2"/>
        <v>22083</v>
      </c>
      <c r="E22" s="11">
        <f t="shared" si="2"/>
        <v>15680</v>
      </c>
      <c r="F22" s="10">
        <f t="shared" si="2"/>
        <v>22400</v>
      </c>
      <c r="G22" s="10">
        <f t="shared" si="2"/>
        <v>22400</v>
      </c>
    </row>
    <row r="23" spans="1:7" hidden="1" x14ac:dyDescent="0.25">
      <c r="A23" s="8" t="s">
        <v>17</v>
      </c>
      <c r="B23" s="9">
        <f>5642.37</f>
        <v>5642.37</v>
      </c>
      <c r="C23" s="9"/>
      <c r="D23" s="9"/>
      <c r="F23" s="9"/>
      <c r="G23" s="9"/>
    </row>
    <row r="24" spans="1:7" x14ac:dyDescent="0.25">
      <c r="A24" s="8"/>
      <c r="B24" s="9"/>
      <c r="C24" s="9"/>
      <c r="D24" s="9"/>
      <c r="F24" s="9"/>
      <c r="G24" s="9"/>
    </row>
    <row r="25" spans="1:7" x14ac:dyDescent="0.25">
      <c r="A25" s="8" t="s">
        <v>18</v>
      </c>
      <c r="B25" s="9"/>
      <c r="C25" s="9"/>
      <c r="D25" s="9"/>
      <c r="F25" s="9"/>
      <c r="G25" s="9"/>
    </row>
    <row r="26" spans="1:7" x14ac:dyDescent="0.25">
      <c r="A26" s="8" t="s">
        <v>19</v>
      </c>
      <c r="B26" s="9"/>
      <c r="C26" s="9"/>
      <c r="D26" s="9"/>
      <c r="F26" s="9"/>
      <c r="G26" s="9"/>
    </row>
    <row r="27" spans="1:7" x14ac:dyDescent="0.25">
      <c r="A27" s="8" t="s">
        <v>20</v>
      </c>
      <c r="B27" s="9">
        <f>7885.5</f>
        <v>7885.5</v>
      </c>
      <c r="C27" s="9">
        <f>4096</f>
        <v>4096</v>
      </c>
      <c r="D27" s="9">
        <f>5264</f>
        <v>5264</v>
      </c>
      <c r="E27" s="2">
        <v>3604</v>
      </c>
      <c r="F27" s="9">
        <f>5000</f>
        <v>5000</v>
      </c>
      <c r="G27" s="9">
        <f>5000</f>
        <v>5000</v>
      </c>
    </row>
    <row r="28" spans="1:7" x14ac:dyDescent="0.25">
      <c r="A28" s="8" t="s">
        <v>21</v>
      </c>
      <c r="B28" s="9"/>
      <c r="C28" s="9">
        <f>15338</f>
        <v>15338</v>
      </c>
      <c r="D28" s="9">
        <f>15920</f>
        <v>15920</v>
      </c>
      <c r="E28" s="2">
        <v>13104</v>
      </c>
      <c r="F28" s="9">
        <f>15500</f>
        <v>15500</v>
      </c>
      <c r="G28" s="9">
        <f>15500</f>
        <v>15500</v>
      </c>
    </row>
    <row r="29" spans="1:7" hidden="1" x14ac:dyDescent="0.25">
      <c r="A29" s="8" t="s">
        <v>22</v>
      </c>
      <c r="B29" s="9">
        <f>12268</f>
        <v>12268</v>
      </c>
      <c r="C29" s="9">
        <f>0</f>
        <v>0</v>
      </c>
      <c r="D29" s="9"/>
      <c r="F29" s="9"/>
      <c r="G29" s="9"/>
    </row>
    <row r="30" spans="1:7" x14ac:dyDescent="0.25">
      <c r="A30" s="8" t="s">
        <v>23</v>
      </c>
      <c r="B30" s="9">
        <f>6598</f>
        <v>6598</v>
      </c>
      <c r="C30" s="9">
        <f>6430</f>
        <v>6430</v>
      </c>
      <c r="D30" s="9">
        <f>6392</f>
        <v>6392</v>
      </c>
      <c r="E30" s="2">
        <v>6578</v>
      </c>
      <c r="F30" s="9">
        <f>6558</f>
        <v>6558</v>
      </c>
      <c r="G30" s="9">
        <f>6558</f>
        <v>6558</v>
      </c>
    </row>
    <row r="31" spans="1:7" x14ac:dyDescent="0.25">
      <c r="A31" s="8" t="s">
        <v>24</v>
      </c>
      <c r="B31" s="9">
        <f>14062</f>
        <v>14062</v>
      </c>
      <c r="C31" s="9">
        <f>12447</f>
        <v>12447</v>
      </c>
      <c r="D31" s="9">
        <f>11539.5</f>
        <v>11539.5</v>
      </c>
      <c r="E31" s="2">
        <v>14162</v>
      </c>
      <c r="F31" s="9">
        <f>12400</f>
        <v>12400</v>
      </c>
      <c r="G31" s="9">
        <f>12400</f>
        <v>12400</v>
      </c>
    </row>
    <row r="32" spans="1:7" x14ac:dyDescent="0.25">
      <c r="A32" s="8" t="s">
        <v>25</v>
      </c>
      <c r="B32" s="9">
        <f>11148.5</f>
        <v>11148.5</v>
      </c>
      <c r="C32" s="9">
        <f>10831</f>
        <v>10831</v>
      </c>
      <c r="D32" s="9">
        <f>13040</f>
        <v>13040</v>
      </c>
      <c r="E32" s="2">
        <v>9778</v>
      </c>
      <c r="F32" s="9">
        <f>12400</f>
        <v>12400</v>
      </c>
      <c r="G32" s="9">
        <f>12400</f>
        <v>12400</v>
      </c>
    </row>
    <row r="33" spans="1:8" x14ac:dyDescent="0.25">
      <c r="A33" s="8" t="s">
        <v>26</v>
      </c>
      <c r="B33" s="10">
        <f t="shared" ref="B33:G33" si="3">((((((B26)+(B27))+(B28))+(B29))+(B30))+(B31))+(B32)</f>
        <v>51962</v>
      </c>
      <c r="C33" s="10">
        <f t="shared" si="3"/>
        <v>49142</v>
      </c>
      <c r="D33" s="11">
        <f t="shared" si="3"/>
        <v>52155.5</v>
      </c>
      <c r="E33" s="11">
        <f t="shared" si="3"/>
        <v>47226</v>
      </c>
      <c r="F33" s="10">
        <f t="shared" si="3"/>
        <v>51858</v>
      </c>
      <c r="G33" s="10">
        <f t="shared" si="3"/>
        <v>51858</v>
      </c>
    </row>
    <row r="34" spans="1:8" x14ac:dyDescent="0.25">
      <c r="A34" s="8" t="s">
        <v>27</v>
      </c>
      <c r="B34" s="9">
        <f>83585.97</f>
        <v>83585.97</v>
      </c>
      <c r="C34" s="9">
        <f>93627.2</f>
        <v>93627.199999999997</v>
      </c>
      <c r="D34" s="9">
        <f>64505</f>
        <v>64505</v>
      </c>
      <c r="E34" s="2">
        <v>92797</v>
      </c>
      <c r="F34" s="9">
        <f>79200</f>
        <v>79200</v>
      </c>
      <c r="G34" s="9">
        <f>79200</f>
        <v>79200</v>
      </c>
    </row>
    <row r="35" spans="1:8" x14ac:dyDescent="0.25">
      <c r="A35" s="8" t="s">
        <v>28</v>
      </c>
      <c r="B35" s="10">
        <f t="shared" ref="B35:G35" si="4">((B25)+(B33))+(B34)</f>
        <v>135547.97</v>
      </c>
      <c r="C35" s="10">
        <f t="shared" si="4"/>
        <v>142769.20000000001</v>
      </c>
      <c r="D35" s="12">
        <f t="shared" si="4"/>
        <v>116660.5</v>
      </c>
      <c r="E35" s="13">
        <f t="shared" si="4"/>
        <v>140023</v>
      </c>
      <c r="F35" s="10">
        <f t="shared" si="4"/>
        <v>131058</v>
      </c>
      <c r="G35" s="10">
        <f t="shared" si="4"/>
        <v>131058</v>
      </c>
      <c r="H35" s="3" t="s">
        <v>294</v>
      </c>
    </row>
    <row r="36" spans="1:8" x14ac:dyDescent="0.25">
      <c r="A36" s="8"/>
      <c r="B36" s="14"/>
      <c r="C36" s="14"/>
      <c r="D36" s="24"/>
      <c r="E36" s="24"/>
      <c r="F36" s="14"/>
      <c r="G36" s="14"/>
    </row>
    <row r="37" spans="1:8" x14ac:dyDescent="0.25">
      <c r="A37" s="8" t="s">
        <v>29</v>
      </c>
      <c r="B37" s="9">
        <f>0</f>
        <v>0</v>
      </c>
      <c r="C37" s="9"/>
      <c r="D37" s="14"/>
      <c r="E37" s="2">
        <v>12145</v>
      </c>
      <c r="F37" s="9">
        <f>87280</f>
        <v>87280</v>
      </c>
      <c r="G37" s="9">
        <f>87280</f>
        <v>87280</v>
      </c>
    </row>
    <row r="38" spans="1:8" x14ac:dyDescent="0.25">
      <c r="A38" s="8" t="s">
        <v>30</v>
      </c>
      <c r="B38" s="9">
        <f>545</f>
        <v>545</v>
      </c>
      <c r="C38" s="9">
        <f>1225</f>
        <v>1225</v>
      </c>
      <c r="D38" s="9">
        <f>180</f>
        <v>180</v>
      </c>
      <c r="E38" s="2">
        <v>220</v>
      </c>
      <c r="F38" s="9"/>
      <c r="G38" s="9"/>
    </row>
    <row r="39" spans="1:8" x14ac:dyDescent="0.25">
      <c r="A39" s="8" t="s">
        <v>31</v>
      </c>
      <c r="B39" s="9">
        <f>5855</f>
        <v>5855</v>
      </c>
      <c r="C39" s="9">
        <f>5440</f>
        <v>5440</v>
      </c>
      <c r="D39" s="9">
        <f>3760</f>
        <v>3760</v>
      </c>
      <c r="E39" s="2">
        <v>4320</v>
      </c>
      <c r="F39" s="9"/>
      <c r="G39" s="9"/>
    </row>
    <row r="40" spans="1:8" x14ac:dyDescent="0.25">
      <c r="A40" s="8" t="s">
        <v>32</v>
      </c>
      <c r="B40" s="9"/>
      <c r="C40" s="9">
        <f>280</f>
        <v>280</v>
      </c>
      <c r="D40" s="9">
        <f>210</f>
        <v>210</v>
      </c>
      <c r="E40" s="2">
        <v>60</v>
      </c>
      <c r="F40" s="9"/>
      <c r="G40" s="9"/>
    </row>
    <row r="41" spans="1:8" x14ac:dyDescent="0.25">
      <c r="A41" s="8" t="s">
        <v>33</v>
      </c>
      <c r="B41" s="9">
        <f>5047</f>
        <v>5047</v>
      </c>
      <c r="C41" s="9">
        <f>3218</f>
        <v>3218</v>
      </c>
      <c r="D41" s="9">
        <f>1390</f>
        <v>1390</v>
      </c>
      <c r="E41" s="2">
        <v>1410</v>
      </c>
      <c r="F41" s="9"/>
      <c r="G41" s="9"/>
    </row>
    <row r="42" spans="1:8" x14ac:dyDescent="0.25">
      <c r="A42" s="8" t="s">
        <v>34</v>
      </c>
      <c r="B42" s="9">
        <f>3602</f>
        <v>3602</v>
      </c>
      <c r="C42" s="9">
        <f>5575</f>
        <v>5575</v>
      </c>
      <c r="D42" s="9">
        <f>2206</f>
        <v>2206</v>
      </c>
      <c r="E42" s="2">
        <v>1960</v>
      </c>
      <c r="F42" s="9"/>
      <c r="G42" s="9"/>
    </row>
    <row r="43" spans="1:8" x14ac:dyDescent="0.25">
      <c r="A43" s="8" t="s">
        <v>35</v>
      </c>
      <c r="B43" s="9">
        <f>265</f>
        <v>265</v>
      </c>
      <c r="C43" s="9">
        <f>20</f>
        <v>20</v>
      </c>
      <c r="D43" s="9"/>
      <c r="E43" s="2">
        <v>10</v>
      </c>
      <c r="F43" s="9"/>
      <c r="G43" s="9"/>
    </row>
    <row r="44" spans="1:8" x14ac:dyDescent="0.25">
      <c r="A44" s="8" t="s">
        <v>36</v>
      </c>
      <c r="B44" s="9">
        <f>63290.5</f>
        <v>63290.5</v>
      </c>
      <c r="C44" s="9">
        <f>67129.74</f>
        <v>67129.740000000005</v>
      </c>
      <c r="D44" s="9">
        <f>39480.21</f>
        <v>39480.21</v>
      </c>
      <c r="E44" s="2">
        <v>57260</v>
      </c>
      <c r="F44" s="9"/>
      <c r="G44" s="9"/>
    </row>
    <row r="45" spans="1:8" x14ac:dyDescent="0.25">
      <c r="A45" s="8" t="s">
        <v>37</v>
      </c>
      <c r="B45" s="9">
        <f>4742</f>
        <v>4742</v>
      </c>
      <c r="C45" s="9"/>
      <c r="D45" s="9">
        <f>13050</f>
        <v>13050</v>
      </c>
      <c r="E45" s="2">
        <v>3118</v>
      </c>
      <c r="F45" s="9"/>
      <c r="G45" s="9"/>
    </row>
    <row r="46" spans="1:8" x14ac:dyDescent="0.25">
      <c r="A46" s="8" t="s">
        <v>38</v>
      </c>
      <c r="B46" s="10">
        <f t="shared" ref="B46:G46" si="5">((((((((B37)+(B38))+(B39))+(B40))+(B41))+(B42))+(B43))+(B44))+(B45)</f>
        <v>83346.5</v>
      </c>
      <c r="C46" s="10">
        <f t="shared" si="5"/>
        <v>82887.740000000005</v>
      </c>
      <c r="D46" s="11">
        <v>86780</v>
      </c>
      <c r="E46" s="11">
        <f t="shared" si="5"/>
        <v>80503</v>
      </c>
      <c r="F46" s="10">
        <f t="shared" si="5"/>
        <v>87280</v>
      </c>
      <c r="G46" s="10">
        <f t="shared" si="5"/>
        <v>87280</v>
      </c>
    </row>
    <row r="47" spans="1:8" x14ac:dyDescent="0.25">
      <c r="A47" s="8"/>
      <c r="B47" s="14"/>
      <c r="C47" s="14"/>
      <c r="D47" s="14"/>
      <c r="E47" s="14"/>
      <c r="F47" s="14"/>
      <c r="G47" s="14"/>
    </row>
    <row r="48" spans="1:8" x14ac:dyDescent="0.25">
      <c r="A48" s="8" t="s">
        <v>39</v>
      </c>
      <c r="B48" s="15">
        <f>5391</f>
        <v>5391</v>
      </c>
      <c r="C48" s="15">
        <f>4895</f>
        <v>4895</v>
      </c>
      <c r="D48" s="15">
        <f>4205</f>
        <v>4205</v>
      </c>
      <c r="E48" s="1">
        <v>4865</v>
      </c>
      <c r="F48" s="15">
        <f>5400</f>
        <v>5400</v>
      </c>
      <c r="G48" s="15">
        <f>5400</f>
        <v>5400</v>
      </c>
    </row>
    <row r="49" spans="1:8" x14ac:dyDescent="0.25">
      <c r="A49" s="8"/>
      <c r="B49" s="15"/>
      <c r="C49" s="15"/>
      <c r="D49" s="15"/>
      <c r="E49" s="1"/>
      <c r="F49" s="15"/>
      <c r="G49" s="15"/>
    </row>
    <row r="50" spans="1:8" x14ac:dyDescent="0.25">
      <c r="A50" s="8" t="s">
        <v>40</v>
      </c>
      <c r="B50" s="9"/>
      <c r="C50" s="9"/>
      <c r="D50" s="9"/>
      <c r="F50" s="9"/>
      <c r="G50" s="9"/>
    </row>
    <row r="51" spans="1:8" x14ac:dyDescent="0.25">
      <c r="A51" s="8" t="s">
        <v>41</v>
      </c>
      <c r="B51" s="9"/>
      <c r="C51" s="9"/>
      <c r="D51" s="9"/>
      <c r="F51" s="9"/>
      <c r="G51" s="9"/>
    </row>
    <row r="52" spans="1:8" hidden="1" x14ac:dyDescent="0.25">
      <c r="A52" s="8" t="s">
        <v>42</v>
      </c>
      <c r="B52" s="9"/>
      <c r="C52" s="9"/>
      <c r="D52" s="9"/>
      <c r="F52" s="9"/>
      <c r="G52" s="9"/>
    </row>
    <row r="53" spans="1:8" x14ac:dyDescent="0.25">
      <c r="A53" s="8" t="s">
        <v>43</v>
      </c>
      <c r="B53" s="9"/>
      <c r="C53" s="9">
        <f>2904</f>
        <v>2904</v>
      </c>
      <c r="D53" s="9">
        <f>2970</f>
        <v>2970</v>
      </c>
      <c r="E53" s="2">
        <v>2780</v>
      </c>
      <c r="F53" s="9">
        <f>3000</f>
        <v>3000</v>
      </c>
      <c r="G53" s="9">
        <f>3000</f>
        <v>3000</v>
      </c>
    </row>
    <row r="54" spans="1:8" x14ac:dyDescent="0.25">
      <c r="A54" s="8" t="s">
        <v>44</v>
      </c>
      <c r="B54" s="9"/>
      <c r="C54" s="9">
        <f>8954</f>
        <v>8954</v>
      </c>
      <c r="D54" s="9">
        <f>7729</f>
        <v>7729</v>
      </c>
      <c r="E54" s="2">
        <v>7950</v>
      </c>
      <c r="F54" s="9">
        <f>7500</f>
        <v>7500</v>
      </c>
      <c r="G54" s="9">
        <f>7500</f>
        <v>7500</v>
      </c>
    </row>
    <row r="55" spans="1:8" hidden="1" x14ac:dyDescent="0.25">
      <c r="A55" s="8" t="s">
        <v>45</v>
      </c>
      <c r="B55" s="9">
        <f>4342.5</f>
        <v>4342.5</v>
      </c>
      <c r="C55" s="9">
        <f>0</f>
        <v>0</v>
      </c>
      <c r="D55" s="9"/>
      <c r="F55" s="9"/>
      <c r="G55" s="9"/>
    </row>
    <row r="56" spans="1:8" hidden="1" x14ac:dyDescent="0.25">
      <c r="A56" s="8" t="s">
        <v>46</v>
      </c>
      <c r="B56" s="9">
        <f>5840.37</f>
        <v>5840.37</v>
      </c>
      <c r="C56" s="9">
        <f>0</f>
        <v>0</v>
      </c>
      <c r="D56" s="9"/>
      <c r="F56" s="9"/>
      <c r="G56" s="9"/>
    </row>
    <row r="57" spans="1:8" x14ac:dyDescent="0.25">
      <c r="A57" s="8" t="s">
        <v>47</v>
      </c>
      <c r="B57" s="9">
        <f>3860</f>
        <v>3860</v>
      </c>
      <c r="C57" s="9">
        <f>3954</f>
        <v>3954</v>
      </c>
      <c r="D57" s="9">
        <f>3648</f>
        <v>3648</v>
      </c>
      <c r="E57" s="2">
        <v>3780</v>
      </c>
      <c r="F57" s="9">
        <f>3398</f>
        <v>3398</v>
      </c>
      <c r="G57" s="9">
        <f>3398</f>
        <v>3398</v>
      </c>
    </row>
    <row r="58" spans="1:8" x14ac:dyDescent="0.25">
      <c r="A58" s="8" t="s">
        <v>48</v>
      </c>
      <c r="B58" s="9">
        <f>5794</f>
        <v>5794</v>
      </c>
      <c r="C58" s="9">
        <f>5345</f>
        <v>5345</v>
      </c>
      <c r="D58" s="9">
        <f>5310</f>
        <v>5310</v>
      </c>
      <c r="E58" s="2">
        <v>5952</v>
      </c>
      <c r="F58" s="9">
        <f>5310</f>
        <v>5310</v>
      </c>
      <c r="G58" s="9">
        <f>5310</f>
        <v>5310</v>
      </c>
    </row>
    <row r="59" spans="1:8" x14ac:dyDescent="0.25">
      <c r="A59" s="8" t="s">
        <v>49</v>
      </c>
      <c r="B59" s="9">
        <f>4974</f>
        <v>4974</v>
      </c>
      <c r="C59" s="9">
        <f>4830</f>
        <v>4830</v>
      </c>
      <c r="D59" s="9">
        <f>5180</f>
        <v>5180</v>
      </c>
      <c r="E59" s="2">
        <v>4620</v>
      </c>
      <c r="F59" s="9">
        <f>5000</f>
        <v>5000</v>
      </c>
      <c r="G59" s="9">
        <f>5000</f>
        <v>5000</v>
      </c>
    </row>
    <row r="60" spans="1:8" x14ac:dyDescent="0.25">
      <c r="A60" s="8" t="s">
        <v>50</v>
      </c>
      <c r="B60" s="10">
        <f t="shared" ref="B60:G60" si="6">((((((((B51)+(B52))+(B53))+(B54))+(B55))+(B56))+(B57))+(B58))+(B59)</f>
        <v>24810.87</v>
      </c>
      <c r="C60" s="10">
        <f t="shared" si="6"/>
        <v>25987</v>
      </c>
      <c r="D60" s="11">
        <f t="shared" si="6"/>
        <v>24837</v>
      </c>
      <c r="E60" s="11">
        <f t="shared" si="6"/>
        <v>25082</v>
      </c>
      <c r="F60" s="10">
        <f t="shared" si="6"/>
        <v>24208</v>
      </c>
      <c r="G60" s="10">
        <f t="shared" si="6"/>
        <v>24208</v>
      </c>
    </row>
    <row r="61" spans="1:8" x14ac:dyDescent="0.25">
      <c r="A61" s="8" t="s">
        <v>51</v>
      </c>
      <c r="B61" s="9">
        <f>81802</f>
        <v>81802</v>
      </c>
      <c r="C61" s="9">
        <f>90624</f>
        <v>90624</v>
      </c>
      <c r="D61" s="9">
        <f>64867</f>
        <v>64867</v>
      </c>
      <c r="E61" s="2">
        <v>71305</v>
      </c>
      <c r="F61" s="9">
        <f>78000</f>
        <v>78000</v>
      </c>
      <c r="G61" s="9">
        <f>78000</f>
        <v>78000</v>
      </c>
    </row>
    <row r="62" spans="1:8" x14ac:dyDescent="0.25">
      <c r="A62" s="8" t="s">
        <v>52</v>
      </c>
      <c r="B62" s="10">
        <f t="shared" ref="B62:G62" si="7">((B50)+(B60))+(B61)</f>
        <v>106612.87</v>
      </c>
      <c r="C62" s="10">
        <f t="shared" si="7"/>
        <v>116611</v>
      </c>
      <c r="D62" s="13">
        <f t="shared" si="7"/>
        <v>89704</v>
      </c>
      <c r="E62" s="13">
        <f t="shared" si="7"/>
        <v>96387</v>
      </c>
      <c r="F62" s="10">
        <f t="shared" si="7"/>
        <v>102208</v>
      </c>
      <c r="G62" s="10">
        <f t="shared" si="7"/>
        <v>102208</v>
      </c>
      <c r="H62" s="3" t="s">
        <v>294</v>
      </c>
    </row>
    <row r="63" spans="1:8" x14ac:dyDescent="0.25">
      <c r="A63" s="8"/>
      <c r="B63" s="14"/>
      <c r="C63" s="14"/>
      <c r="D63" s="24"/>
      <c r="E63" s="24"/>
      <c r="F63" s="14"/>
      <c r="G63" s="14"/>
    </row>
    <row r="64" spans="1:8" x14ac:dyDescent="0.25">
      <c r="A64" s="8" t="s">
        <v>53</v>
      </c>
      <c r="B64" s="9"/>
      <c r="C64" s="9"/>
      <c r="D64" s="9"/>
      <c r="F64" s="9"/>
      <c r="G64" s="9"/>
    </row>
    <row r="65" spans="1:7" x14ac:dyDescent="0.25">
      <c r="A65" s="8" t="s">
        <v>54</v>
      </c>
      <c r="B65" s="9">
        <f>250</f>
        <v>250</v>
      </c>
      <c r="C65" s="9">
        <f>500</f>
        <v>500</v>
      </c>
      <c r="D65" s="9"/>
      <c r="E65" s="2">
        <v>733</v>
      </c>
      <c r="F65" s="9"/>
      <c r="G65" s="9"/>
    </row>
    <row r="66" spans="1:7" x14ac:dyDescent="0.25">
      <c r="A66" s="8" t="s">
        <v>55</v>
      </c>
      <c r="B66" s="9">
        <f>6000</f>
        <v>6000</v>
      </c>
      <c r="C66" s="9">
        <f>5500</f>
        <v>5500</v>
      </c>
      <c r="D66" s="9">
        <f>6000</f>
        <v>6000</v>
      </c>
      <c r="E66" s="2">
        <v>5750</v>
      </c>
      <c r="F66" s="9">
        <f>6000</f>
        <v>6000</v>
      </c>
      <c r="G66" s="9">
        <f>6000</f>
        <v>6000</v>
      </c>
    </row>
    <row r="67" spans="1:7" x14ac:dyDescent="0.25">
      <c r="A67" s="8" t="s">
        <v>56</v>
      </c>
      <c r="B67" s="9">
        <f>1240</f>
        <v>1240</v>
      </c>
      <c r="C67" s="9">
        <f>2920</f>
        <v>2920</v>
      </c>
      <c r="D67" s="9">
        <f>3520</f>
        <v>3520</v>
      </c>
      <c r="E67" s="2">
        <v>1830</v>
      </c>
      <c r="F67" s="9">
        <f>3520</f>
        <v>3520</v>
      </c>
      <c r="G67" s="9">
        <f>3520</f>
        <v>3520</v>
      </c>
    </row>
    <row r="68" spans="1:7" x14ac:dyDescent="0.25">
      <c r="A68" s="8" t="s">
        <v>57</v>
      </c>
      <c r="B68" s="9">
        <f>4700</f>
        <v>4700</v>
      </c>
      <c r="C68" s="9">
        <f>9600</f>
        <v>9600</v>
      </c>
      <c r="D68" s="9">
        <f>750</f>
        <v>750</v>
      </c>
      <c r="E68" s="2">
        <v>8000</v>
      </c>
      <c r="F68" s="9">
        <f>4800</f>
        <v>4800</v>
      </c>
      <c r="G68" s="9">
        <f>4800</f>
        <v>4800</v>
      </c>
    </row>
    <row r="69" spans="1:7" x14ac:dyDescent="0.25">
      <c r="A69" s="8" t="s">
        <v>58</v>
      </c>
      <c r="B69" s="9">
        <f>45960.82</f>
        <v>45960.82</v>
      </c>
      <c r="C69" s="9">
        <f>32260</f>
        <v>32260</v>
      </c>
      <c r="D69" s="9">
        <f>45530</f>
        <v>45530</v>
      </c>
      <c r="E69" s="2">
        <v>52215</v>
      </c>
      <c r="F69" s="9">
        <f>25000</f>
        <v>25000</v>
      </c>
      <c r="G69" s="9">
        <f>25000</f>
        <v>25000</v>
      </c>
    </row>
    <row r="70" spans="1:7" hidden="1" x14ac:dyDescent="0.25">
      <c r="A70" s="8" t="s">
        <v>59</v>
      </c>
      <c r="B70" s="9"/>
      <c r="C70" s="9"/>
      <c r="D70" s="9"/>
      <c r="F70" s="9"/>
      <c r="G70" s="9"/>
    </row>
    <row r="71" spans="1:7" ht="16.5" customHeight="1" x14ac:dyDescent="0.25">
      <c r="A71" s="8" t="s">
        <v>292</v>
      </c>
      <c r="B71" s="10">
        <f t="shared" ref="B71:G71" si="8">((((((B64)+(B65))+(B66))+(B67))+(B68))+(B69))+(B70)</f>
        <v>58150.82</v>
      </c>
      <c r="C71" s="22">
        <f t="shared" si="8"/>
        <v>50780</v>
      </c>
      <c r="D71" s="23">
        <f t="shared" si="8"/>
        <v>55800</v>
      </c>
      <c r="E71" s="23">
        <f t="shared" si="8"/>
        <v>68528</v>
      </c>
      <c r="F71" s="10">
        <f t="shared" si="8"/>
        <v>39320</v>
      </c>
      <c r="G71" s="10">
        <f t="shared" si="8"/>
        <v>39320</v>
      </c>
    </row>
    <row r="72" spans="1:7" hidden="1" x14ac:dyDescent="0.25">
      <c r="A72" s="8" t="s">
        <v>60</v>
      </c>
      <c r="B72" s="9"/>
      <c r="C72" s="9"/>
      <c r="D72" s="9"/>
      <c r="F72" s="9"/>
      <c r="G72" s="9"/>
    </row>
    <row r="73" spans="1:7" hidden="1" x14ac:dyDescent="0.25">
      <c r="A73" s="8" t="s">
        <v>61</v>
      </c>
      <c r="B73" s="9"/>
      <c r="C73" s="9"/>
      <c r="D73" s="9">
        <f>-1418.66</f>
        <v>-1418.66</v>
      </c>
      <c r="F73" s="9"/>
      <c r="G73" s="9"/>
    </row>
    <row r="74" spans="1:7" hidden="1" x14ac:dyDescent="0.25">
      <c r="A74" s="8" t="s">
        <v>62</v>
      </c>
      <c r="B74" s="9"/>
      <c r="C74" s="9"/>
      <c r="D74" s="9"/>
      <c r="F74" s="9"/>
      <c r="G74" s="9"/>
    </row>
    <row r="75" spans="1:7" hidden="1" x14ac:dyDescent="0.25">
      <c r="A75" s="8" t="s">
        <v>63</v>
      </c>
      <c r="B75" s="9"/>
      <c r="C75" s="9"/>
      <c r="D75" s="9"/>
      <c r="F75" s="9"/>
      <c r="G75" s="9"/>
    </row>
    <row r="76" spans="1:7" hidden="1" x14ac:dyDescent="0.25">
      <c r="A76" s="8" t="s">
        <v>64</v>
      </c>
      <c r="B76" s="9"/>
      <c r="C76" s="9"/>
      <c r="D76" s="9"/>
      <c r="F76" s="9"/>
      <c r="G76" s="9"/>
    </row>
    <row r="77" spans="1:7" hidden="1" x14ac:dyDescent="0.25">
      <c r="A77" s="8" t="s">
        <v>65</v>
      </c>
      <c r="B77" s="10">
        <f>(B75)+(B76)</f>
        <v>0</v>
      </c>
      <c r="C77" s="10">
        <f>(C75)+(C76)</f>
        <v>0</v>
      </c>
      <c r="D77" s="11">
        <f>(D75)+(D76)</f>
        <v>0</v>
      </c>
      <c r="F77" s="10">
        <f>(F75)+(F76)</f>
        <v>0</v>
      </c>
      <c r="G77" s="10">
        <f>(G75)+(G76)</f>
        <v>0</v>
      </c>
    </row>
    <row r="78" spans="1:7" hidden="1" x14ac:dyDescent="0.25">
      <c r="A78" s="8" t="s">
        <v>66</v>
      </c>
      <c r="B78" s="9">
        <f>0.55</f>
        <v>0.55000000000000004</v>
      </c>
      <c r="C78" s="9">
        <f>0.46</f>
        <v>0.46</v>
      </c>
      <c r="D78" s="9"/>
      <c r="F78" s="9"/>
      <c r="G78" s="9"/>
    </row>
    <row r="79" spans="1:7" hidden="1" x14ac:dyDescent="0.25">
      <c r="A79" s="8" t="s">
        <v>67</v>
      </c>
      <c r="B79" s="9"/>
      <c r="C79" s="9"/>
      <c r="D79" s="9"/>
      <c r="F79" s="9"/>
      <c r="G79" s="9"/>
    </row>
    <row r="80" spans="1:7" hidden="1" x14ac:dyDescent="0.25">
      <c r="A80" s="8" t="s">
        <v>68</v>
      </c>
      <c r="B80" s="10">
        <f>(B78)+(B79)</f>
        <v>0.55000000000000004</v>
      </c>
      <c r="C80" s="10">
        <f>(C78)+(C79)</f>
        <v>0.46</v>
      </c>
      <c r="D80" s="11">
        <f>(D78)+(D79)</f>
        <v>0</v>
      </c>
      <c r="F80" s="10">
        <f>(F78)+(F79)</f>
        <v>0</v>
      </c>
      <c r="G80" s="10">
        <f>(G78)+(G79)</f>
        <v>0</v>
      </c>
    </row>
    <row r="81" spans="1:7" hidden="1" x14ac:dyDescent="0.25">
      <c r="A81" s="8" t="s">
        <v>69</v>
      </c>
      <c r="B81" s="9"/>
      <c r="C81" s="9"/>
      <c r="D81" s="9">
        <f>1418.66</f>
        <v>1418.66</v>
      </c>
      <c r="F81" s="9"/>
      <c r="G81" s="9"/>
    </row>
    <row r="82" spans="1:7" hidden="1" x14ac:dyDescent="0.25">
      <c r="A82" s="8" t="s">
        <v>70</v>
      </c>
      <c r="B82" s="9"/>
      <c r="C82" s="9"/>
      <c r="D82" s="9"/>
      <c r="F82" s="9"/>
      <c r="G82" s="9"/>
    </row>
    <row r="83" spans="1:7" hidden="1" x14ac:dyDescent="0.25">
      <c r="A83" s="8" t="s">
        <v>71</v>
      </c>
      <c r="B83" s="9"/>
      <c r="C83" s="9"/>
      <c r="D83" s="9"/>
      <c r="F83" s="9"/>
      <c r="G83" s="9"/>
    </row>
    <row r="84" spans="1:7" hidden="1" x14ac:dyDescent="0.25">
      <c r="A84" s="8" t="s">
        <v>72</v>
      </c>
      <c r="B84" s="9"/>
      <c r="C84" s="9"/>
      <c r="D84" s="9"/>
      <c r="F84" s="9"/>
      <c r="G84" s="9"/>
    </row>
    <row r="85" spans="1:7" hidden="1" x14ac:dyDescent="0.25">
      <c r="A85" s="8" t="s">
        <v>73</v>
      </c>
      <c r="B85" s="9">
        <f>59</f>
        <v>59</v>
      </c>
      <c r="C85" s="9">
        <f>497.5</f>
        <v>497.5</v>
      </c>
      <c r="D85" s="9"/>
      <c r="F85" s="9"/>
      <c r="G85" s="9"/>
    </row>
    <row r="86" spans="1:7" hidden="1" x14ac:dyDescent="0.25">
      <c r="A86" s="8" t="s">
        <v>74</v>
      </c>
      <c r="B86" s="9">
        <f>149.19</f>
        <v>149.19</v>
      </c>
      <c r="C86" s="9"/>
      <c r="D86" s="9"/>
      <c r="F86" s="9"/>
      <c r="G86" s="9"/>
    </row>
    <row r="87" spans="1:7" hidden="1" x14ac:dyDescent="0.25">
      <c r="A87" s="8" t="s">
        <v>75</v>
      </c>
      <c r="B87" s="9"/>
      <c r="C87" s="9"/>
      <c r="D87" s="9"/>
      <c r="F87" s="9"/>
      <c r="G87" s="9"/>
    </row>
    <row r="88" spans="1:7" hidden="1" x14ac:dyDescent="0.25">
      <c r="A88" s="8" t="s">
        <v>76</v>
      </c>
      <c r="B88" s="9"/>
      <c r="C88" s="9"/>
      <c r="D88" s="9"/>
      <c r="F88" s="9"/>
      <c r="G88" s="9"/>
    </row>
    <row r="89" spans="1:7" hidden="1" x14ac:dyDescent="0.25">
      <c r="A89" s="8" t="s">
        <v>77</v>
      </c>
      <c r="B89" s="9"/>
      <c r="C89" s="9"/>
      <c r="D89" s="9"/>
      <c r="F89" s="9"/>
      <c r="G89" s="9"/>
    </row>
    <row r="90" spans="1:7" hidden="1" x14ac:dyDescent="0.25">
      <c r="A90" s="8" t="s">
        <v>78</v>
      </c>
      <c r="B90" s="9"/>
      <c r="C90" s="9"/>
      <c r="D90" s="9"/>
      <c r="F90" s="9"/>
      <c r="G90" s="9"/>
    </row>
    <row r="91" spans="1:7" hidden="1" x14ac:dyDescent="0.25">
      <c r="A91" s="8" t="s">
        <v>79</v>
      </c>
      <c r="B91" s="9"/>
      <c r="C91" s="9"/>
      <c r="D91" s="9"/>
      <c r="F91" s="9"/>
      <c r="G91" s="9"/>
    </row>
    <row r="92" spans="1:7" hidden="1" x14ac:dyDescent="0.25">
      <c r="A92" s="8" t="s">
        <v>80</v>
      </c>
      <c r="B92" s="9"/>
      <c r="C92" s="9"/>
      <c r="D92" s="9"/>
      <c r="F92" s="9"/>
      <c r="G92" s="9"/>
    </row>
    <row r="93" spans="1:7" hidden="1" x14ac:dyDescent="0.25">
      <c r="A93" s="8" t="s">
        <v>81</v>
      </c>
      <c r="B93" s="9"/>
      <c r="C93" s="9"/>
      <c r="D93" s="9"/>
      <c r="F93" s="9"/>
      <c r="G93" s="9"/>
    </row>
    <row r="94" spans="1:7" hidden="1" x14ac:dyDescent="0.25">
      <c r="A94" s="8" t="s">
        <v>82</v>
      </c>
      <c r="B94" s="9"/>
      <c r="C94" s="9"/>
      <c r="D94" s="9"/>
      <c r="F94" s="9"/>
      <c r="G94" s="9"/>
    </row>
    <row r="95" spans="1:7" hidden="1" x14ac:dyDescent="0.25">
      <c r="A95" s="8" t="s">
        <v>83</v>
      </c>
      <c r="B95" s="9"/>
      <c r="C95" s="9"/>
      <c r="D95" s="9"/>
      <c r="F95" s="9"/>
      <c r="G95" s="9"/>
    </row>
    <row r="96" spans="1:7" hidden="1" x14ac:dyDescent="0.25">
      <c r="A96" s="8" t="s">
        <v>84</v>
      </c>
      <c r="B96" s="9"/>
      <c r="C96" s="9"/>
      <c r="D96" s="9"/>
      <c r="F96" s="9"/>
      <c r="G96" s="9"/>
    </row>
    <row r="97" spans="1:7" hidden="1" x14ac:dyDescent="0.25">
      <c r="A97" s="8" t="s">
        <v>85</v>
      </c>
      <c r="B97" s="9"/>
      <c r="C97" s="9"/>
      <c r="D97" s="9"/>
      <c r="F97" s="9"/>
      <c r="G97" s="9"/>
    </row>
    <row r="98" spans="1:7" hidden="1" x14ac:dyDescent="0.25">
      <c r="A98" s="8" t="s">
        <v>86</v>
      </c>
      <c r="B98" s="9"/>
      <c r="C98" s="9"/>
      <c r="D98" s="9"/>
      <c r="F98" s="9"/>
      <c r="G98" s="9"/>
    </row>
    <row r="99" spans="1:7" hidden="1" x14ac:dyDescent="0.25">
      <c r="A99" s="8" t="s">
        <v>87</v>
      </c>
      <c r="B99" s="9"/>
      <c r="C99" s="9"/>
      <c r="D99" s="9"/>
      <c r="F99" s="9"/>
      <c r="G99" s="9"/>
    </row>
    <row r="100" spans="1:7" hidden="1" x14ac:dyDescent="0.25">
      <c r="A100" s="8" t="s">
        <v>88</v>
      </c>
      <c r="B100" s="9"/>
      <c r="C100" s="9"/>
      <c r="D100" s="9"/>
      <c r="F100" s="9"/>
      <c r="G100" s="9"/>
    </row>
    <row r="101" spans="1:7" hidden="1" x14ac:dyDescent="0.25">
      <c r="A101" s="8" t="s">
        <v>89</v>
      </c>
      <c r="B101" s="9"/>
      <c r="C101" s="9"/>
      <c r="D101" s="9"/>
      <c r="F101" s="9"/>
      <c r="G101" s="9"/>
    </row>
    <row r="102" spans="1:7" hidden="1" x14ac:dyDescent="0.25">
      <c r="A102" s="8" t="s">
        <v>90</v>
      </c>
      <c r="B102" s="9"/>
      <c r="C102" s="9"/>
      <c r="D102" s="9"/>
      <c r="F102" s="9"/>
      <c r="G102" s="9"/>
    </row>
    <row r="103" spans="1:7" hidden="1" x14ac:dyDescent="0.25">
      <c r="A103" s="8" t="s">
        <v>91</v>
      </c>
      <c r="B103" s="9"/>
      <c r="C103" s="9"/>
      <c r="D103" s="9"/>
      <c r="F103" s="9"/>
      <c r="G103" s="9"/>
    </row>
    <row r="104" spans="1:7" hidden="1" x14ac:dyDescent="0.25">
      <c r="A104" s="8" t="s">
        <v>92</v>
      </c>
      <c r="B104" s="9"/>
      <c r="C104" s="9"/>
      <c r="D104" s="9"/>
      <c r="F104" s="9"/>
      <c r="G104" s="9"/>
    </row>
    <row r="105" spans="1:7" hidden="1" x14ac:dyDescent="0.25">
      <c r="A105" s="8" t="s">
        <v>93</v>
      </c>
      <c r="B105" s="9"/>
      <c r="C105" s="9"/>
      <c r="D105" s="9"/>
      <c r="F105" s="9"/>
      <c r="G105" s="9"/>
    </row>
    <row r="106" spans="1:7" hidden="1" x14ac:dyDescent="0.25">
      <c r="A106" s="8" t="s">
        <v>94</v>
      </c>
      <c r="B106" s="9"/>
      <c r="C106" s="9"/>
      <c r="D106" s="9"/>
      <c r="F106" s="9"/>
      <c r="G106" s="9"/>
    </row>
    <row r="107" spans="1:7" hidden="1" x14ac:dyDescent="0.25">
      <c r="A107" s="8" t="s">
        <v>95</v>
      </c>
      <c r="B107" s="9"/>
      <c r="C107" s="9"/>
      <c r="D107" s="9"/>
      <c r="F107" s="9"/>
      <c r="G107" s="9"/>
    </row>
    <row r="108" spans="1:7" hidden="1" x14ac:dyDescent="0.25">
      <c r="A108" s="8" t="s">
        <v>96</v>
      </c>
      <c r="B108" s="9"/>
      <c r="C108" s="9"/>
      <c r="D108" s="9"/>
      <c r="F108" s="9"/>
      <c r="G108" s="9"/>
    </row>
    <row r="109" spans="1:7" x14ac:dyDescent="0.25">
      <c r="A109" s="8" t="s">
        <v>97</v>
      </c>
      <c r="B109" s="10">
        <f t="shared" ref="B109:G109" si="9">(((((((((((((((((((((((((((((((((((((((((B7)+(B15))+(B22))+(B23))+(B35))+(B46))+(B48))+(B62))+(B71))+(B72))+(B73))+(B74))+(B77))+(B80))+(B81))+(B82))+(B83))+(B84))+(B85))+(B86))+(B87))+(B88))+(B89))+(B90))+(B91))+(B92))+(B93))+(B94))+(B95))+(B96))+(B97))+(B98))+(B99))+(B100))+(B101))+(B102))+(B103))+(B104))+(B105))+(B106))+(B107))+(B108)</f>
        <v>411146.26999999996</v>
      </c>
      <c r="C109" s="10">
        <f t="shared" si="9"/>
        <v>443419.37000000005</v>
      </c>
      <c r="D109" s="11">
        <f t="shared" si="9"/>
        <v>399739</v>
      </c>
      <c r="E109" s="11">
        <f t="shared" si="9"/>
        <v>417103</v>
      </c>
      <c r="F109" s="10">
        <f t="shared" si="9"/>
        <v>434186</v>
      </c>
      <c r="G109" s="10">
        <f t="shared" si="9"/>
        <v>434186</v>
      </c>
    </row>
    <row r="110" spans="1:7" hidden="1" x14ac:dyDescent="0.25">
      <c r="A110" s="8" t="s">
        <v>98</v>
      </c>
      <c r="B110" s="9"/>
      <c r="C110" s="9"/>
      <c r="D110" s="9"/>
      <c r="F110" s="9"/>
      <c r="G110" s="9"/>
    </row>
    <row r="111" spans="1:7" hidden="1" x14ac:dyDescent="0.25">
      <c r="A111" s="8" t="s">
        <v>99</v>
      </c>
      <c r="B111" s="9"/>
      <c r="C111" s="9"/>
      <c r="D111" s="9"/>
      <c r="F111" s="9"/>
      <c r="G111" s="9"/>
    </row>
    <row r="112" spans="1:7" hidden="1" x14ac:dyDescent="0.25">
      <c r="A112" s="8" t="s">
        <v>100</v>
      </c>
      <c r="B112" s="10">
        <f>B111</f>
        <v>0</v>
      </c>
      <c r="C112" s="10">
        <f>C111</f>
        <v>0</v>
      </c>
      <c r="D112" s="11">
        <f>D111</f>
        <v>0</v>
      </c>
      <c r="F112" s="10">
        <f>F111</f>
        <v>0</v>
      </c>
      <c r="G112" s="10">
        <f>G111</f>
        <v>0</v>
      </c>
    </row>
    <row r="113" spans="1:7" hidden="1" x14ac:dyDescent="0.25">
      <c r="A113" s="8" t="s">
        <v>101</v>
      </c>
      <c r="B113" s="10">
        <f>(B109)-(B112)</f>
        <v>411146.26999999996</v>
      </c>
      <c r="C113" s="10">
        <f>(C109)-(C112)</f>
        <v>443419.37000000005</v>
      </c>
      <c r="D113" s="11">
        <f>(D109)-(D112)</f>
        <v>399739</v>
      </c>
      <c r="F113" s="10">
        <f>(F109)-(F112)</f>
        <v>434186</v>
      </c>
      <c r="G113" s="10">
        <f>(G109)-(G112)</f>
        <v>434186</v>
      </c>
    </row>
    <row r="114" spans="1:7" x14ac:dyDescent="0.25">
      <c r="A114" s="8"/>
      <c r="B114" s="14"/>
      <c r="C114" s="14"/>
      <c r="D114" s="14"/>
      <c r="F114" s="14"/>
      <c r="G114" s="14"/>
    </row>
    <row r="115" spans="1:7" x14ac:dyDescent="0.25">
      <c r="A115" s="8" t="s">
        <v>102</v>
      </c>
      <c r="B115" s="9"/>
      <c r="C115" s="9"/>
      <c r="D115" s="9"/>
      <c r="F115" s="9"/>
      <c r="G115" s="9"/>
    </row>
    <row r="116" spans="1:7" x14ac:dyDescent="0.25">
      <c r="A116" s="8" t="s">
        <v>103</v>
      </c>
      <c r="B116" s="9"/>
      <c r="C116" s="9"/>
      <c r="D116" s="9"/>
      <c r="F116" s="9"/>
      <c r="G116" s="9"/>
    </row>
    <row r="117" spans="1:7" hidden="1" x14ac:dyDescent="0.25">
      <c r="A117" s="8" t="s">
        <v>104</v>
      </c>
      <c r="B117" s="9"/>
      <c r="C117" s="9"/>
      <c r="D117" s="9"/>
      <c r="F117" s="9"/>
      <c r="G117" s="9"/>
    </row>
    <row r="118" spans="1:7" x14ac:dyDescent="0.25">
      <c r="A118" s="8" t="s">
        <v>105</v>
      </c>
      <c r="B118" s="9">
        <f>1800</f>
        <v>1800</v>
      </c>
      <c r="C118" s="9"/>
      <c r="D118" s="9"/>
      <c r="F118" s="9"/>
      <c r="G118" s="9"/>
    </row>
    <row r="119" spans="1:7" x14ac:dyDescent="0.25">
      <c r="A119" s="8" t="s">
        <v>106</v>
      </c>
      <c r="B119" s="9">
        <f>1726.65</f>
        <v>1726.65</v>
      </c>
      <c r="C119" s="9">
        <f>2047.26</f>
        <v>2047.26</v>
      </c>
      <c r="D119" s="9">
        <f>1779.53</f>
        <v>1779.53</v>
      </c>
      <c r="E119" s="2">
        <v>1562</v>
      </c>
      <c r="F119" s="9">
        <f>1779.53</f>
        <v>1779.53</v>
      </c>
      <c r="G119" s="9">
        <f>1779.53</f>
        <v>1779.53</v>
      </c>
    </row>
    <row r="120" spans="1:7" x14ac:dyDescent="0.25">
      <c r="A120" s="8" t="s">
        <v>107</v>
      </c>
      <c r="B120" s="9">
        <f>4743.16</f>
        <v>4743.16</v>
      </c>
      <c r="C120" s="9">
        <f>3131.49</f>
        <v>3131.49</v>
      </c>
      <c r="D120" s="9">
        <f>1544.87</f>
        <v>1544.87</v>
      </c>
      <c r="E120" s="2">
        <v>1820</v>
      </c>
      <c r="F120" s="9">
        <f>1096.87</f>
        <v>1096.8699999999999</v>
      </c>
      <c r="G120" s="9">
        <f>1096.87</f>
        <v>1096.8699999999999</v>
      </c>
    </row>
    <row r="121" spans="1:7" x14ac:dyDescent="0.25">
      <c r="A121" s="8" t="s">
        <v>108</v>
      </c>
      <c r="B121" s="9">
        <f>4068.01</f>
        <v>4068.01</v>
      </c>
      <c r="C121" s="9">
        <f>7334.68</f>
        <v>7334.68</v>
      </c>
      <c r="D121" s="9">
        <f>1920</f>
        <v>1920</v>
      </c>
      <c r="E121" s="2">
        <v>3093</v>
      </c>
      <c r="F121" s="9">
        <f>4000</f>
        <v>4000</v>
      </c>
      <c r="G121" s="9">
        <f>4000</f>
        <v>4000</v>
      </c>
    </row>
    <row r="122" spans="1:7" x14ac:dyDescent="0.25">
      <c r="A122" s="8" t="s">
        <v>109</v>
      </c>
      <c r="B122" s="9">
        <f>200</f>
        <v>200</v>
      </c>
      <c r="C122" s="9">
        <f>150</f>
        <v>150</v>
      </c>
      <c r="D122" s="9">
        <f>2300</f>
        <v>2300</v>
      </c>
      <c r="E122" s="2">
        <v>1200</v>
      </c>
      <c r="F122" s="9">
        <f>2300</f>
        <v>2300</v>
      </c>
      <c r="G122" s="9">
        <f>2300</f>
        <v>2300</v>
      </c>
    </row>
    <row r="123" spans="1:7" x14ac:dyDescent="0.25">
      <c r="A123" s="8" t="s">
        <v>110</v>
      </c>
      <c r="B123" s="9"/>
      <c r="C123" s="9"/>
      <c r="D123" s="9"/>
      <c r="F123" s="9"/>
      <c r="G123" s="9"/>
    </row>
    <row r="124" spans="1:7" x14ac:dyDescent="0.25">
      <c r="A124" s="8" t="s">
        <v>111</v>
      </c>
      <c r="B124" s="9">
        <f>838.06</f>
        <v>838.06</v>
      </c>
      <c r="C124" s="9">
        <f>6680.93</f>
        <v>6680.93</v>
      </c>
      <c r="D124" s="9">
        <f>2767.92</f>
        <v>2767.92</v>
      </c>
      <c r="E124" s="2">
        <v>1490</v>
      </c>
      <c r="F124" s="9">
        <f>3000</f>
        <v>3000</v>
      </c>
      <c r="G124" s="9">
        <f>3000</f>
        <v>3000</v>
      </c>
    </row>
    <row r="125" spans="1:7" x14ac:dyDescent="0.25">
      <c r="A125" s="8" t="s">
        <v>112</v>
      </c>
      <c r="B125" s="9"/>
      <c r="C125" s="9">
        <f>320</f>
        <v>320</v>
      </c>
      <c r="D125" s="9">
        <f>598.6</f>
        <v>598.6</v>
      </c>
      <c r="E125" s="2">
        <v>2150</v>
      </c>
      <c r="F125" s="9">
        <f>1500</f>
        <v>1500</v>
      </c>
      <c r="G125" s="9">
        <f>1500</f>
        <v>1500</v>
      </c>
    </row>
    <row r="126" spans="1:7" x14ac:dyDescent="0.25">
      <c r="A126" s="8" t="s">
        <v>113</v>
      </c>
      <c r="B126" s="9"/>
      <c r="C126" s="9">
        <f>2000</f>
        <v>2000</v>
      </c>
      <c r="D126" s="9"/>
      <c r="F126" s="9"/>
      <c r="G126" s="9"/>
    </row>
    <row r="127" spans="1:7" x14ac:dyDescent="0.25">
      <c r="A127" s="8" t="s">
        <v>114</v>
      </c>
      <c r="B127" s="10">
        <f t="shared" ref="B127:G127" si="10">((((((((B118)+(B119))+(B120))+(B121))+(B122))+(B123))+(B124))+(B125))+(B126)</f>
        <v>13375.88</v>
      </c>
      <c r="C127" s="10">
        <f t="shared" si="10"/>
        <v>21664.36</v>
      </c>
      <c r="D127" s="11">
        <f t="shared" si="10"/>
        <v>10910.92</v>
      </c>
      <c r="E127" s="11">
        <f t="shared" si="10"/>
        <v>11315</v>
      </c>
      <c r="F127" s="10">
        <f t="shared" si="10"/>
        <v>13676.4</v>
      </c>
      <c r="G127" s="10">
        <f t="shared" si="10"/>
        <v>13676.4</v>
      </c>
    </row>
    <row r="128" spans="1:7" x14ac:dyDescent="0.25">
      <c r="A128" s="8"/>
      <c r="B128" s="14"/>
      <c r="C128" s="14"/>
      <c r="D128" s="14"/>
      <c r="E128" s="14"/>
      <c r="F128" s="14"/>
      <c r="G128" s="14"/>
    </row>
    <row r="129" spans="1:7" x14ac:dyDescent="0.25">
      <c r="A129" s="8" t="s">
        <v>115</v>
      </c>
      <c r="B129" s="9"/>
      <c r="C129" s="9"/>
      <c r="D129" s="9"/>
      <c r="F129" s="9"/>
      <c r="G129" s="9"/>
    </row>
    <row r="130" spans="1:7" x14ac:dyDescent="0.25">
      <c r="A130" s="8" t="s">
        <v>116</v>
      </c>
      <c r="B130" s="9">
        <f>20789.08</f>
        <v>20789.080000000002</v>
      </c>
      <c r="C130" s="9">
        <f>12080.7</f>
        <v>12080.7</v>
      </c>
      <c r="D130" s="9">
        <f>10391.45</f>
        <v>10391.450000000001</v>
      </c>
      <c r="E130" s="2">
        <v>12000</v>
      </c>
      <c r="F130" s="9">
        <f>10391.45</f>
        <v>10391.450000000001</v>
      </c>
      <c r="G130" s="9">
        <f>10391.45</f>
        <v>10391.450000000001</v>
      </c>
    </row>
    <row r="131" spans="1:7" x14ac:dyDescent="0.25">
      <c r="A131" s="8" t="s">
        <v>117</v>
      </c>
      <c r="B131" s="9">
        <f>5856.24</f>
        <v>5856.24</v>
      </c>
      <c r="C131" s="9">
        <f>6111.7</f>
        <v>6111.7</v>
      </c>
      <c r="D131" s="9">
        <f>4162.78</f>
        <v>4162.78</v>
      </c>
      <c r="E131" s="2">
        <v>4876</v>
      </c>
      <c r="F131" s="9">
        <v>10000</v>
      </c>
      <c r="G131" s="9">
        <f>8500</f>
        <v>8500</v>
      </c>
    </row>
    <row r="132" spans="1:7" x14ac:dyDescent="0.25">
      <c r="A132" s="8" t="s">
        <v>118</v>
      </c>
      <c r="B132" s="9">
        <f>4100</f>
        <v>4100</v>
      </c>
      <c r="C132" s="9">
        <f>4100</f>
        <v>4100</v>
      </c>
      <c r="D132" s="9">
        <f>3700</f>
        <v>3700</v>
      </c>
      <c r="E132" s="2">
        <v>3700</v>
      </c>
      <c r="F132" s="9">
        <v>4500</v>
      </c>
      <c r="G132" s="9">
        <f>3700</f>
        <v>3700</v>
      </c>
    </row>
    <row r="133" spans="1:7" x14ac:dyDescent="0.25">
      <c r="A133" s="8" t="s">
        <v>119</v>
      </c>
      <c r="B133" s="9">
        <f>2320</f>
        <v>2320</v>
      </c>
      <c r="C133" s="9">
        <f>4120</f>
        <v>4120</v>
      </c>
      <c r="D133" s="9">
        <f>4241.68</f>
        <v>4241.68</v>
      </c>
      <c r="E133" s="2">
        <v>5722</v>
      </c>
      <c r="F133" s="9">
        <f>4241.68</f>
        <v>4241.68</v>
      </c>
      <c r="G133" s="9">
        <f>4241.68</f>
        <v>4241.68</v>
      </c>
    </row>
    <row r="134" spans="1:7" x14ac:dyDescent="0.25">
      <c r="A134" s="8" t="s">
        <v>120</v>
      </c>
      <c r="B134" s="9">
        <f>8835.55</f>
        <v>8835.5499999999993</v>
      </c>
      <c r="C134" s="9">
        <f>5331.01</f>
        <v>5331.01</v>
      </c>
      <c r="D134" s="9">
        <f>4530.85</f>
        <v>4530.8500000000004</v>
      </c>
      <c r="E134" s="2">
        <v>8581</v>
      </c>
      <c r="F134" s="9">
        <f>7000</f>
        <v>7000</v>
      </c>
      <c r="G134" s="9">
        <f>7000</f>
        <v>7000</v>
      </c>
    </row>
    <row r="135" spans="1:7" x14ac:dyDescent="0.25">
      <c r="A135" s="8" t="s">
        <v>121</v>
      </c>
      <c r="B135" s="9">
        <f>5086</f>
        <v>5086</v>
      </c>
      <c r="C135" s="9">
        <f>11477.05</f>
        <v>11477.05</v>
      </c>
      <c r="D135" s="9">
        <f>6552.02</f>
        <v>6552.02</v>
      </c>
      <c r="E135" s="2">
        <v>15000</v>
      </c>
      <c r="F135" s="9">
        <v>25000</v>
      </c>
      <c r="G135" s="9">
        <f>7000</f>
        <v>7000</v>
      </c>
    </row>
    <row r="136" spans="1:7" x14ac:dyDescent="0.25">
      <c r="A136" s="8" t="s">
        <v>122</v>
      </c>
      <c r="B136" s="9">
        <f>46026.97</f>
        <v>46026.97</v>
      </c>
      <c r="C136" s="9">
        <f>20330.54</f>
        <v>20330.54</v>
      </c>
      <c r="D136" s="9">
        <f>23157.43</f>
        <v>23157.43</v>
      </c>
      <c r="E136" s="2">
        <v>27000</v>
      </c>
      <c r="F136" s="9">
        <f>9000</f>
        <v>9000</v>
      </c>
      <c r="G136" s="9">
        <f>9000</f>
        <v>9000</v>
      </c>
    </row>
    <row r="137" spans="1:7" x14ac:dyDescent="0.25">
      <c r="A137" s="8" t="s">
        <v>123</v>
      </c>
      <c r="B137" s="10">
        <f t="shared" ref="B137:G137" si="11">(((((((B129)+(B130))+(B131))+(B132))+(B133))+(B134))+(B135))+(B136)</f>
        <v>93013.84</v>
      </c>
      <c r="C137" s="10">
        <f t="shared" si="11"/>
        <v>63551.000000000007</v>
      </c>
      <c r="D137" s="11">
        <f t="shared" si="11"/>
        <v>56736.21</v>
      </c>
      <c r="E137" s="11">
        <f t="shared" si="11"/>
        <v>76879</v>
      </c>
      <c r="F137" s="10">
        <f t="shared" si="11"/>
        <v>70133.13</v>
      </c>
      <c r="G137" s="10">
        <f t="shared" si="11"/>
        <v>49833.130000000005</v>
      </c>
    </row>
    <row r="138" spans="1:7" x14ac:dyDescent="0.25">
      <c r="A138" s="8"/>
      <c r="B138" s="14"/>
      <c r="C138" s="14"/>
      <c r="D138" s="14"/>
      <c r="E138" s="14"/>
      <c r="F138" s="14"/>
      <c r="G138" s="14"/>
    </row>
    <row r="139" spans="1:7" x14ac:dyDescent="0.25">
      <c r="A139" s="8" t="s">
        <v>124</v>
      </c>
      <c r="B139" s="9">
        <f>2029.01</f>
        <v>2029.01</v>
      </c>
      <c r="C139" s="9">
        <f>6601.48</f>
        <v>6601.48</v>
      </c>
      <c r="D139" s="9">
        <f>3461.56</f>
        <v>3461.56</v>
      </c>
      <c r="E139" s="2">
        <v>5508</v>
      </c>
      <c r="F139" s="9">
        <f>3461.56</f>
        <v>3461.56</v>
      </c>
      <c r="G139" s="9">
        <f>3461.56</f>
        <v>3461.56</v>
      </c>
    </row>
    <row r="140" spans="1:7" x14ac:dyDescent="0.25">
      <c r="A140" s="8"/>
      <c r="B140" s="9"/>
      <c r="C140" s="9"/>
      <c r="D140" s="9"/>
      <c r="F140" s="9"/>
      <c r="G140" s="9"/>
    </row>
    <row r="141" spans="1:7" x14ac:dyDescent="0.25">
      <c r="A141" s="8" t="s">
        <v>125</v>
      </c>
      <c r="B141" s="9">
        <f>11867.7</f>
        <v>11867.7</v>
      </c>
      <c r="C141" s="9"/>
      <c r="D141" s="9"/>
      <c r="F141" s="9"/>
      <c r="G141" s="9"/>
    </row>
    <row r="142" spans="1:7" x14ac:dyDescent="0.25">
      <c r="A142" s="8" t="s">
        <v>126</v>
      </c>
      <c r="B142" s="9"/>
      <c r="C142" s="9">
        <f>8594.9</f>
        <v>8594.9</v>
      </c>
      <c r="D142" s="9">
        <f>15691.98</f>
        <v>15691.98</v>
      </c>
      <c r="E142" s="2">
        <v>12207</v>
      </c>
      <c r="F142" s="9">
        <f>10400</f>
        <v>10400</v>
      </c>
      <c r="G142" s="9">
        <f>10400</f>
        <v>10400</v>
      </c>
    </row>
    <row r="143" spans="1:7" x14ac:dyDescent="0.25">
      <c r="A143" s="8" t="s">
        <v>127</v>
      </c>
      <c r="B143" s="9"/>
      <c r="C143" s="9">
        <f>5794.8</f>
        <v>5794.8</v>
      </c>
      <c r="D143" s="9"/>
      <c r="E143" s="2">
        <v>6351</v>
      </c>
      <c r="F143" s="9">
        <f>6500</f>
        <v>6500</v>
      </c>
      <c r="G143" s="9">
        <f>6500</f>
        <v>6500</v>
      </c>
    </row>
    <row r="144" spans="1:7" x14ac:dyDescent="0.25">
      <c r="A144" s="8" t="s">
        <v>128</v>
      </c>
      <c r="B144" s="9"/>
      <c r="C144" s="9">
        <f>2700</f>
        <v>2700</v>
      </c>
      <c r="D144" s="9"/>
      <c r="E144" s="2">
        <v>3932</v>
      </c>
      <c r="F144" s="9">
        <f>2700</f>
        <v>2700</v>
      </c>
      <c r="G144" s="9">
        <f>2700</f>
        <v>2700</v>
      </c>
    </row>
    <row r="145" spans="1:8" x14ac:dyDescent="0.25">
      <c r="A145" s="8" t="s">
        <v>129</v>
      </c>
      <c r="B145" s="9"/>
      <c r="C145" s="9">
        <f>2267.5</f>
        <v>2267.5</v>
      </c>
      <c r="D145" s="9"/>
      <c r="E145" s="2">
        <v>924</v>
      </c>
      <c r="F145" s="9">
        <f>2100</f>
        <v>2100</v>
      </c>
      <c r="G145" s="9">
        <f>2100</f>
        <v>2100</v>
      </c>
    </row>
    <row r="146" spans="1:8" x14ac:dyDescent="0.25">
      <c r="A146" s="8" t="s">
        <v>130</v>
      </c>
      <c r="B146" s="9"/>
      <c r="C146" s="9">
        <f>337.93</f>
        <v>337.93</v>
      </c>
      <c r="D146" s="9"/>
      <c r="E146" s="2">
        <v>254</v>
      </c>
      <c r="F146" s="9"/>
      <c r="G146" s="9"/>
    </row>
    <row r="147" spans="1:8" x14ac:dyDescent="0.25">
      <c r="A147" s="8" t="s">
        <v>131</v>
      </c>
      <c r="B147" s="9"/>
      <c r="C147" s="9">
        <f>800</f>
        <v>800</v>
      </c>
      <c r="D147" s="9">
        <f>800</f>
        <v>800</v>
      </c>
      <c r="E147" s="2">
        <v>1000</v>
      </c>
      <c r="F147" s="9">
        <f>1200</f>
        <v>1200</v>
      </c>
      <c r="G147" s="9">
        <f>1200</f>
        <v>1200</v>
      </c>
    </row>
    <row r="148" spans="1:8" x14ac:dyDescent="0.25">
      <c r="A148" s="8" t="s">
        <v>132</v>
      </c>
      <c r="B148" s="9"/>
      <c r="C148" s="9">
        <f>1458.5</f>
        <v>1458.5</v>
      </c>
      <c r="D148" s="9">
        <f>7530</f>
        <v>7530</v>
      </c>
      <c r="E148" s="2">
        <v>1196</v>
      </c>
      <c r="F148" s="9">
        <f>1500</f>
        <v>1500</v>
      </c>
      <c r="G148" s="9">
        <f>1500</f>
        <v>1500</v>
      </c>
    </row>
    <row r="149" spans="1:8" x14ac:dyDescent="0.25">
      <c r="A149" s="8" t="s">
        <v>133</v>
      </c>
      <c r="B149" s="10">
        <f t="shared" ref="B149:G149" si="12">(((((((B141)+(B142))+(B143))+(B144))+(B145))+(B146))+(B147))+(B148)</f>
        <v>11867.7</v>
      </c>
      <c r="C149" s="10">
        <f t="shared" si="12"/>
        <v>21953.63</v>
      </c>
      <c r="D149" s="11">
        <f t="shared" si="12"/>
        <v>24021.98</v>
      </c>
      <c r="E149" s="11">
        <f t="shared" si="12"/>
        <v>25864</v>
      </c>
      <c r="F149" s="10">
        <f t="shared" si="12"/>
        <v>24400</v>
      </c>
      <c r="G149" s="10">
        <f t="shared" si="12"/>
        <v>24400</v>
      </c>
    </row>
    <row r="150" spans="1:8" x14ac:dyDescent="0.25">
      <c r="A150" s="8" t="s">
        <v>134</v>
      </c>
      <c r="B150" s="10">
        <f t="shared" ref="B150:G150" si="13">(((((B116)+(B117))+(B127))+(B137))+(B139))+(B149)</f>
        <v>120286.43</v>
      </c>
      <c r="C150" s="10">
        <f t="shared" si="13"/>
        <v>113770.47000000002</v>
      </c>
      <c r="D150" s="11">
        <f t="shared" si="13"/>
        <v>95130.67</v>
      </c>
      <c r="E150" s="11">
        <f t="shared" si="13"/>
        <v>119566</v>
      </c>
      <c r="F150" s="12">
        <f t="shared" si="13"/>
        <v>111671.09</v>
      </c>
      <c r="G150" s="10">
        <f t="shared" si="13"/>
        <v>91371.090000000011</v>
      </c>
      <c r="H150" s="3" t="s">
        <v>296</v>
      </c>
    </row>
    <row r="151" spans="1:8" hidden="1" x14ac:dyDescent="0.25">
      <c r="A151" s="8" t="s">
        <v>135</v>
      </c>
      <c r="B151" s="9"/>
      <c r="C151" s="9"/>
      <c r="D151" s="9"/>
      <c r="F151" s="9"/>
      <c r="G151" s="9"/>
    </row>
    <row r="152" spans="1:8" hidden="1" x14ac:dyDescent="0.25">
      <c r="A152" s="8" t="s">
        <v>136</v>
      </c>
      <c r="B152" s="9"/>
      <c r="C152" s="9"/>
      <c r="D152" s="9"/>
      <c r="F152" s="9"/>
      <c r="G152" s="9"/>
    </row>
    <row r="153" spans="1:8" hidden="1" x14ac:dyDescent="0.25">
      <c r="A153" s="8" t="s">
        <v>137</v>
      </c>
      <c r="B153" s="9"/>
      <c r="C153" s="9"/>
      <c r="D153" s="9"/>
      <c r="F153" s="9"/>
      <c r="G153" s="9"/>
    </row>
    <row r="154" spans="1:8" hidden="1" x14ac:dyDescent="0.25">
      <c r="A154" s="8" t="s">
        <v>138</v>
      </c>
      <c r="B154" s="9"/>
      <c r="C154" s="9"/>
      <c r="D154" s="9"/>
      <c r="F154" s="9"/>
      <c r="G154" s="9"/>
    </row>
    <row r="155" spans="1:8" hidden="1" x14ac:dyDescent="0.25">
      <c r="A155" s="8" t="s">
        <v>139</v>
      </c>
      <c r="B155" s="9"/>
      <c r="C155" s="9"/>
      <c r="D155" s="9"/>
      <c r="F155" s="9"/>
      <c r="G155" s="9"/>
    </row>
    <row r="156" spans="1:8" hidden="1" x14ac:dyDescent="0.25">
      <c r="A156" s="8" t="s">
        <v>140</v>
      </c>
      <c r="B156" s="9"/>
      <c r="C156" s="9"/>
      <c r="D156" s="9"/>
      <c r="F156" s="9"/>
      <c r="G156" s="9"/>
    </row>
    <row r="157" spans="1:8" x14ac:dyDescent="0.25">
      <c r="A157" s="8"/>
      <c r="B157" s="9"/>
      <c r="C157" s="9"/>
      <c r="D157" s="9"/>
      <c r="F157" s="9"/>
      <c r="G157" s="9"/>
    </row>
    <row r="158" spans="1:8" x14ac:dyDescent="0.25">
      <c r="A158" s="8" t="s">
        <v>141</v>
      </c>
      <c r="B158" s="9"/>
      <c r="C158" s="9"/>
      <c r="D158" s="9"/>
      <c r="F158" s="9"/>
      <c r="G158" s="9"/>
    </row>
    <row r="159" spans="1:8" x14ac:dyDescent="0.25">
      <c r="A159" s="8" t="s">
        <v>142</v>
      </c>
      <c r="B159" s="9">
        <f>9688</f>
        <v>9688</v>
      </c>
      <c r="C159" s="9">
        <f>1764.94</f>
        <v>1764.94</v>
      </c>
      <c r="D159" s="9"/>
      <c r="E159" s="2">
        <v>1700</v>
      </c>
      <c r="F159" s="25">
        <v>6000</v>
      </c>
      <c r="G159" s="25">
        <v>6000</v>
      </c>
      <c r="H159" s="27" t="s">
        <v>299</v>
      </c>
    </row>
    <row r="160" spans="1:8" x14ac:dyDescent="0.25">
      <c r="A160" s="8" t="s">
        <v>143</v>
      </c>
      <c r="B160" s="9"/>
      <c r="C160" s="9">
        <f>2490.74</f>
        <v>2490.7399999999998</v>
      </c>
      <c r="D160" s="9">
        <f>4062.19</f>
        <v>4062.19</v>
      </c>
      <c r="E160" s="2">
        <v>4554</v>
      </c>
      <c r="F160" s="9">
        <f>4062.19</f>
        <v>4062.19</v>
      </c>
      <c r="G160" s="9">
        <f>4062.19</f>
        <v>4062.19</v>
      </c>
    </row>
    <row r="161" spans="1:7" ht="25.5" hidden="1" x14ac:dyDescent="0.25">
      <c r="A161" s="8" t="s">
        <v>144</v>
      </c>
      <c r="B161" s="9"/>
      <c r="C161" s="9"/>
      <c r="D161" s="9"/>
      <c r="F161" s="9"/>
      <c r="G161" s="9"/>
    </row>
    <row r="162" spans="1:7" hidden="1" x14ac:dyDescent="0.25">
      <c r="A162" s="8" t="s">
        <v>145</v>
      </c>
      <c r="B162" s="9"/>
      <c r="C162" s="9"/>
      <c r="D162" s="9"/>
      <c r="F162" s="9"/>
      <c r="G162" s="9"/>
    </row>
    <row r="163" spans="1:7" x14ac:dyDescent="0.25">
      <c r="A163" s="8" t="s">
        <v>146</v>
      </c>
      <c r="B163" s="10">
        <f t="shared" ref="B163:G163" si="14">((((B158)+(B159))+(B160))+(B161))+(B162)</f>
        <v>9688</v>
      </c>
      <c r="C163" s="10">
        <f t="shared" si="14"/>
        <v>4255.68</v>
      </c>
      <c r="D163" s="11">
        <f t="shared" si="14"/>
        <v>4062.19</v>
      </c>
      <c r="E163" s="11">
        <f t="shared" si="14"/>
        <v>6254</v>
      </c>
      <c r="F163" s="10">
        <f t="shared" si="14"/>
        <v>10062.19</v>
      </c>
      <c r="G163" s="10">
        <f t="shared" si="14"/>
        <v>10062.19</v>
      </c>
    </row>
    <row r="164" spans="1:7" x14ac:dyDescent="0.25">
      <c r="A164" s="8"/>
      <c r="B164" s="14"/>
      <c r="C164" s="14"/>
      <c r="D164" s="14"/>
      <c r="E164" s="14"/>
      <c r="F164" s="14"/>
      <c r="G164" s="14"/>
    </row>
    <row r="165" spans="1:7" x14ac:dyDescent="0.25">
      <c r="A165" s="8" t="s">
        <v>147</v>
      </c>
      <c r="B165" s="9">
        <f>56.69</f>
        <v>56.69</v>
      </c>
      <c r="C165" s="9"/>
      <c r="D165" s="9"/>
      <c r="F165" s="9"/>
      <c r="G165" s="9"/>
    </row>
    <row r="166" spans="1:7" x14ac:dyDescent="0.25">
      <c r="A166" s="8" t="s">
        <v>148</v>
      </c>
      <c r="B166" s="9"/>
      <c r="C166" s="9">
        <f>4540.45</f>
        <v>4540.45</v>
      </c>
      <c r="D166" s="9">
        <f>371.99</f>
        <v>371.99</v>
      </c>
      <c r="E166" s="2">
        <v>2867</v>
      </c>
      <c r="F166" s="9">
        <f>6000</f>
        <v>6000</v>
      </c>
      <c r="G166" s="9">
        <f>6000</f>
        <v>6000</v>
      </c>
    </row>
    <row r="167" spans="1:7" x14ac:dyDescent="0.25">
      <c r="A167" s="8" t="s">
        <v>149</v>
      </c>
      <c r="B167" s="9">
        <f>950.21</f>
        <v>950.21</v>
      </c>
      <c r="C167" s="9">
        <f>1228.75</f>
        <v>1228.75</v>
      </c>
      <c r="D167" s="9">
        <f>633.75</f>
        <v>633.75</v>
      </c>
      <c r="E167" s="2">
        <v>563</v>
      </c>
      <c r="F167" s="9">
        <f>633.75</f>
        <v>633.75</v>
      </c>
      <c r="G167" s="9">
        <f>633.75</f>
        <v>633.75</v>
      </c>
    </row>
    <row r="168" spans="1:7" x14ac:dyDescent="0.25">
      <c r="A168" s="8" t="s">
        <v>150</v>
      </c>
      <c r="B168" s="9">
        <f>173.55</f>
        <v>173.55</v>
      </c>
      <c r="C168" s="9">
        <f>305.95</f>
        <v>305.95</v>
      </c>
      <c r="D168" s="9"/>
      <c r="E168" s="2">
        <v>170</v>
      </c>
      <c r="F168" s="9">
        <f>3000</f>
        <v>3000</v>
      </c>
      <c r="G168" s="9">
        <f>3000</f>
        <v>3000</v>
      </c>
    </row>
    <row r="169" spans="1:7" x14ac:dyDescent="0.25">
      <c r="A169" s="8" t="s">
        <v>151</v>
      </c>
      <c r="B169" s="9">
        <f>2843.02</f>
        <v>2843.02</v>
      </c>
      <c r="C169" s="9">
        <f>1853.22</f>
        <v>1853.22</v>
      </c>
      <c r="D169" s="9">
        <f>722.22</f>
        <v>722.22</v>
      </c>
      <c r="E169" s="2">
        <v>576</v>
      </c>
      <c r="F169" s="9">
        <f>5600</f>
        <v>5600</v>
      </c>
      <c r="G169" s="9">
        <f>5600</f>
        <v>5600</v>
      </c>
    </row>
    <row r="170" spans="1:7" x14ac:dyDescent="0.25">
      <c r="A170" s="8" t="s">
        <v>152</v>
      </c>
      <c r="B170" s="9">
        <f>893.49</f>
        <v>893.49</v>
      </c>
      <c r="C170" s="9">
        <f>1179.06</f>
        <v>1179.06</v>
      </c>
      <c r="D170" s="9">
        <f>2455.89</f>
        <v>2455.89</v>
      </c>
      <c r="E170" s="2">
        <v>340</v>
      </c>
      <c r="F170" s="9">
        <f>2455.89</f>
        <v>2455.89</v>
      </c>
      <c r="G170" s="9">
        <f>2455.89</f>
        <v>2455.89</v>
      </c>
    </row>
    <row r="171" spans="1:7" x14ac:dyDescent="0.25">
      <c r="A171" s="8" t="s">
        <v>153</v>
      </c>
      <c r="B171" s="9">
        <f>12666.19</f>
        <v>12666.19</v>
      </c>
      <c r="C171" s="9">
        <f>16060.29</f>
        <v>16060.29</v>
      </c>
      <c r="D171" s="9">
        <f>10708.19</f>
        <v>10708.19</v>
      </c>
      <c r="E171" s="2">
        <v>18599</v>
      </c>
      <c r="F171" s="9">
        <f>12000</f>
        <v>12000</v>
      </c>
      <c r="G171" s="9">
        <f>12000</f>
        <v>12000</v>
      </c>
    </row>
    <row r="172" spans="1:7" x14ac:dyDescent="0.25">
      <c r="A172" s="8" t="s">
        <v>154</v>
      </c>
      <c r="B172" s="9">
        <f>1750.79</f>
        <v>1750.79</v>
      </c>
      <c r="C172" s="9">
        <f>596.15</f>
        <v>596.15</v>
      </c>
      <c r="D172" s="9">
        <f>3143.52</f>
        <v>3143.52</v>
      </c>
      <c r="E172" s="2">
        <v>3473</v>
      </c>
      <c r="F172" s="9">
        <f>4000</f>
        <v>4000</v>
      </c>
      <c r="G172" s="9">
        <f>4000</f>
        <v>4000</v>
      </c>
    </row>
    <row r="173" spans="1:7" x14ac:dyDescent="0.25">
      <c r="A173" s="8" t="s">
        <v>155</v>
      </c>
      <c r="B173" s="10">
        <f t="shared" ref="B173:G173" si="15">(((((((B165)+(B166))+(B167))+(B168))+(B169))+(B170))+(B171))+(B172)</f>
        <v>19333.940000000002</v>
      </c>
      <c r="C173" s="10">
        <f t="shared" si="15"/>
        <v>25763.870000000003</v>
      </c>
      <c r="D173" s="11">
        <f t="shared" si="15"/>
        <v>18035.560000000001</v>
      </c>
      <c r="E173" s="11">
        <f t="shared" si="15"/>
        <v>26588</v>
      </c>
      <c r="F173" s="10">
        <f t="shared" si="15"/>
        <v>33689.64</v>
      </c>
      <c r="G173" s="10">
        <f t="shared" si="15"/>
        <v>33689.64</v>
      </c>
    </row>
    <row r="174" spans="1:7" x14ac:dyDescent="0.25">
      <c r="A174" s="8"/>
      <c r="B174" s="14"/>
      <c r="C174" s="14"/>
      <c r="D174" s="14"/>
      <c r="E174" s="14"/>
      <c r="F174" s="14"/>
      <c r="G174" s="14"/>
    </row>
    <row r="175" spans="1:7" x14ac:dyDescent="0.25">
      <c r="A175" s="8" t="s">
        <v>156</v>
      </c>
      <c r="B175" s="9">
        <f>40</f>
        <v>40</v>
      </c>
      <c r="C175" s="9"/>
      <c r="D175" s="9"/>
      <c r="F175" s="9"/>
      <c r="G175" s="9"/>
    </row>
    <row r="176" spans="1:7" x14ac:dyDescent="0.25">
      <c r="A176" s="8" t="s">
        <v>157</v>
      </c>
      <c r="B176" s="9"/>
      <c r="C176" s="9"/>
      <c r="D176" s="9"/>
      <c r="F176" s="9"/>
      <c r="G176" s="9"/>
    </row>
    <row r="177" spans="1:7" x14ac:dyDescent="0.25">
      <c r="A177" s="8" t="s">
        <v>158</v>
      </c>
      <c r="B177" s="9"/>
      <c r="C177" s="9">
        <f>10</f>
        <v>10</v>
      </c>
      <c r="D177" s="9"/>
      <c r="F177" s="9"/>
      <c r="G177" s="9"/>
    </row>
    <row r="178" spans="1:7" x14ac:dyDescent="0.25">
      <c r="A178" s="8" t="s">
        <v>159</v>
      </c>
      <c r="B178" s="9">
        <f>82</f>
        <v>82</v>
      </c>
      <c r="C178" s="9">
        <f>439</f>
        <v>439</v>
      </c>
      <c r="D178" s="9">
        <f>202.16</f>
        <v>202.16</v>
      </c>
      <c r="E178" s="2">
        <v>68</v>
      </c>
      <c r="F178" s="9"/>
      <c r="G178" s="9"/>
    </row>
    <row r="179" spans="1:7" x14ac:dyDescent="0.25">
      <c r="A179" s="8" t="s">
        <v>160</v>
      </c>
      <c r="B179" s="9"/>
      <c r="C179" s="9"/>
      <c r="D179" s="9"/>
      <c r="F179" s="9"/>
      <c r="G179" s="9"/>
    </row>
    <row r="180" spans="1:7" x14ac:dyDescent="0.25">
      <c r="A180" s="8" t="s">
        <v>161</v>
      </c>
      <c r="B180" s="9"/>
      <c r="C180" s="9">
        <f>5</f>
        <v>5</v>
      </c>
      <c r="D180" s="9"/>
      <c r="F180" s="9"/>
      <c r="G180" s="9"/>
    </row>
    <row r="181" spans="1:7" x14ac:dyDescent="0.25">
      <c r="A181" s="8" t="s">
        <v>162</v>
      </c>
      <c r="B181" s="9">
        <f>306</f>
        <v>306</v>
      </c>
      <c r="C181" s="9">
        <f>2028</f>
        <v>2028</v>
      </c>
      <c r="D181" s="9">
        <f>1381</f>
        <v>1381</v>
      </c>
      <c r="E181" s="2">
        <v>-2648</v>
      </c>
      <c r="F181" s="9"/>
      <c r="G181" s="9"/>
    </row>
    <row r="182" spans="1:7" x14ac:dyDescent="0.25">
      <c r="A182" s="8" t="s">
        <v>163</v>
      </c>
      <c r="B182" s="9"/>
      <c r="C182" s="9">
        <f>80</f>
        <v>80</v>
      </c>
      <c r="D182" s="9">
        <f>208</f>
        <v>208</v>
      </c>
      <c r="F182" s="9"/>
      <c r="G182" s="9"/>
    </row>
    <row r="183" spans="1:7" x14ac:dyDescent="0.25">
      <c r="A183" s="8" t="s">
        <v>164</v>
      </c>
      <c r="B183" s="9"/>
      <c r="C183" s="9"/>
      <c r="D183" s="9"/>
      <c r="E183" s="2">
        <v>200</v>
      </c>
      <c r="F183" s="9"/>
      <c r="G183" s="9"/>
    </row>
    <row r="184" spans="1:7" x14ac:dyDescent="0.25">
      <c r="A184" s="8" t="s">
        <v>165</v>
      </c>
      <c r="B184" s="10">
        <f t="shared" ref="B184:G184" si="16">((((((((B175)+(B176))+(B177))+(B178))+(B179))+(B180))+(B181))+(B182))+(B183)</f>
        <v>428</v>
      </c>
      <c r="C184" s="10">
        <f t="shared" si="16"/>
        <v>2562</v>
      </c>
      <c r="D184" s="11">
        <f t="shared" si="16"/>
        <v>1791.16</v>
      </c>
      <c r="E184" s="11">
        <f t="shared" si="16"/>
        <v>-2380</v>
      </c>
      <c r="F184" s="10">
        <f t="shared" si="16"/>
        <v>0</v>
      </c>
      <c r="G184" s="10">
        <f t="shared" si="16"/>
        <v>0</v>
      </c>
    </row>
    <row r="185" spans="1:7" x14ac:dyDescent="0.25">
      <c r="A185" s="8"/>
      <c r="B185" s="14"/>
      <c r="C185" s="14"/>
      <c r="D185" s="14"/>
      <c r="E185" s="14"/>
      <c r="F185" s="14"/>
      <c r="G185" s="14"/>
    </row>
    <row r="186" spans="1:7" x14ac:dyDescent="0.25">
      <c r="A186" s="8" t="s">
        <v>166</v>
      </c>
      <c r="B186" s="9"/>
      <c r="C186" s="9"/>
      <c r="D186" s="9">
        <f>-1474.39</f>
        <v>-1474.39</v>
      </c>
      <c r="F186" s="9"/>
      <c r="G186" s="9"/>
    </row>
    <row r="187" spans="1:7" x14ac:dyDescent="0.25">
      <c r="A187" s="8" t="s">
        <v>167</v>
      </c>
      <c r="B187" s="9">
        <f>815.06</f>
        <v>815.06</v>
      </c>
      <c r="C187" s="9"/>
      <c r="D187" s="9">
        <f>652.81</f>
        <v>652.80999999999995</v>
      </c>
      <c r="E187" s="2">
        <v>233</v>
      </c>
      <c r="F187" s="9"/>
      <c r="G187" s="9"/>
    </row>
    <row r="188" spans="1:7" x14ac:dyDescent="0.25">
      <c r="A188" s="8" t="s">
        <v>168</v>
      </c>
      <c r="B188" s="9">
        <f>165.3</f>
        <v>165.3</v>
      </c>
      <c r="C188" s="9">
        <f>250.03</f>
        <v>250.03</v>
      </c>
      <c r="D188" s="9">
        <f>115.5</f>
        <v>115.5</v>
      </c>
      <c r="E188" s="2">
        <v>1534</v>
      </c>
      <c r="F188" s="9">
        <f>400</f>
        <v>400</v>
      </c>
      <c r="G188" s="9">
        <f>400</f>
        <v>400</v>
      </c>
    </row>
    <row r="189" spans="1:7" x14ac:dyDescent="0.25">
      <c r="A189" s="8" t="s">
        <v>169</v>
      </c>
      <c r="B189" s="10">
        <f t="shared" ref="B189:G189" si="17">((B186)+(B187))+(B188)</f>
        <v>980.3599999999999</v>
      </c>
      <c r="C189" s="10">
        <f t="shared" si="17"/>
        <v>250.03</v>
      </c>
      <c r="D189" s="11">
        <f t="shared" si="17"/>
        <v>-706.08000000000015</v>
      </c>
      <c r="E189" s="11">
        <f t="shared" si="17"/>
        <v>1767</v>
      </c>
      <c r="F189" s="10">
        <f t="shared" si="17"/>
        <v>400</v>
      </c>
      <c r="G189" s="10">
        <f t="shared" si="17"/>
        <v>400</v>
      </c>
    </row>
    <row r="190" spans="1:7" x14ac:dyDescent="0.25">
      <c r="A190" s="8"/>
      <c r="B190" s="14"/>
      <c r="C190" s="14"/>
      <c r="D190" s="14"/>
      <c r="E190" s="14"/>
      <c r="F190" s="14"/>
      <c r="G190" s="14"/>
    </row>
    <row r="191" spans="1:7" x14ac:dyDescent="0.25">
      <c r="A191" s="8" t="s">
        <v>170</v>
      </c>
      <c r="B191" s="9"/>
      <c r="C191" s="9"/>
      <c r="D191" s="9"/>
      <c r="F191" s="9"/>
      <c r="G191" s="9"/>
    </row>
    <row r="192" spans="1:7" x14ac:dyDescent="0.25">
      <c r="A192" s="8" t="s">
        <v>171</v>
      </c>
      <c r="B192" s="9">
        <f>1350</f>
        <v>1350</v>
      </c>
      <c r="C192" s="9">
        <f>750</f>
        <v>750</v>
      </c>
      <c r="D192" s="9"/>
      <c r="E192" s="2">
        <v>913</v>
      </c>
      <c r="F192" s="9"/>
      <c r="G192" s="9"/>
    </row>
    <row r="193" spans="1:8" x14ac:dyDescent="0.25">
      <c r="A193" s="8" t="s">
        <v>172</v>
      </c>
      <c r="B193" s="9">
        <f>2200</f>
        <v>2200</v>
      </c>
      <c r="C193" s="9">
        <f>11137.5</f>
        <v>11137.5</v>
      </c>
      <c r="D193" s="9">
        <f>10500</f>
        <v>10500</v>
      </c>
      <c r="E193" s="2">
        <v>14600</v>
      </c>
      <c r="F193" s="9">
        <f>10500</f>
        <v>10500</v>
      </c>
      <c r="G193" s="9">
        <f>10500</f>
        <v>10500</v>
      </c>
    </row>
    <row r="194" spans="1:8" x14ac:dyDescent="0.25">
      <c r="A194" s="8" t="s">
        <v>173</v>
      </c>
      <c r="B194" s="9">
        <f>12800</f>
        <v>12800</v>
      </c>
      <c r="C194" s="9"/>
      <c r="D194" s="9">
        <f>12800</f>
        <v>12800</v>
      </c>
      <c r="E194" s="2">
        <v>1200</v>
      </c>
      <c r="F194" s="9">
        <f>5000</f>
        <v>5000</v>
      </c>
      <c r="G194" s="9">
        <f>5000</f>
        <v>5000</v>
      </c>
    </row>
    <row r="195" spans="1:8" x14ac:dyDescent="0.25">
      <c r="A195" s="8" t="s">
        <v>174</v>
      </c>
      <c r="B195" s="9"/>
      <c r="C195" s="9">
        <f>11900</f>
        <v>11900</v>
      </c>
      <c r="D195" s="9"/>
      <c r="F195" s="9"/>
      <c r="G195" s="9">
        <v>12000</v>
      </c>
      <c r="H195" s="3" t="s">
        <v>297</v>
      </c>
    </row>
    <row r="196" spans="1:8" x14ac:dyDescent="0.25">
      <c r="A196" s="8" t="s">
        <v>175</v>
      </c>
      <c r="B196" s="9"/>
      <c r="C196" s="9">
        <f>2200</f>
        <v>2200</v>
      </c>
      <c r="D196" s="9">
        <f>1600</f>
        <v>1600</v>
      </c>
      <c r="F196" s="9"/>
      <c r="G196" s="9"/>
    </row>
    <row r="197" spans="1:8" x14ac:dyDescent="0.25">
      <c r="A197" s="8" t="s">
        <v>176</v>
      </c>
      <c r="B197" s="9"/>
      <c r="C197" s="9">
        <f>20334</f>
        <v>20334</v>
      </c>
      <c r="D197" s="9">
        <f>21100</f>
        <v>21100</v>
      </c>
      <c r="E197" s="2">
        <v>12000</v>
      </c>
      <c r="F197" s="9">
        <f>21100</f>
        <v>21100</v>
      </c>
      <c r="G197" s="9">
        <f>21100</f>
        <v>21100</v>
      </c>
    </row>
    <row r="198" spans="1:8" x14ac:dyDescent="0.25">
      <c r="A198" s="8" t="s">
        <v>177</v>
      </c>
      <c r="B198" s="9"/>
      <c r="C198" s="9"/>
      <c r="D198" s="9"/>
      <c r="E198" s="2">
        <v>0</v>
      </c>
      <c r="F198" s="9"/>
      <c r="G198" s="9"/>
    </row>
    <row r="199" spans="1:8" x14ac:dyDescent="0.25">
      <c r="A199" s="8" t="s">
        <v>178</v>
      </c>
      <c r="B199" s="9">
        <f>16687.64</f>
        <v>16687.64</v>
      </c>
      <c r="C199" s="9">
        <f>21002.5</f>
        <v>21002.5</v>
      </c>
      <c r="D199" s="9">
        <f>25800</f>
        <v>25800</v>
      </c>
      <c r="E199" s="2">
        <v>34300</v>
      </c>
      <c r="F199" s="9">
        <f>25000</f>
        <v>25000</v>
      </c>
      <c r="G199" s="9">
        <f>25000</f>
        <v>25000</v>
      </c>
    </row>
    <row r="200" spans="1:8" x14ac:dyDescent="0.25">
      <c r="A200" s="8" t="s">
        <v>179</v>
      </c>
      <c r="B200" s="9">
        <f>400</f>
        <v>400</v>
      </c>
      <c r="C200" s="9">
        <f>3746.62</f>
        <v>3746.62</v>
      </c>
      <c r="D200" s="9">
        <f>3750</f>
        <v>3750</v>
      </c>
      <c r="E200" s="2">
        <v>1600</v>
      </c>
      <c r="F200" s="9">
        <f>3750</f>
        <v>3750</v>
      </c>
      <c r="G200" s="9">
        <f>3750</f>
        <v>3750</v>
      </c>
    </row>
    <row r="201" spans="1:8" x14ac:dyDescent="0.25">
      <c r="A201" s="8" t="s">
        <v>180</v>
      </c>
      <c r="B201" s="10">
        <f t="shared" ref="B201:G201" si="18">(((((((((B191)+(B192))+(B193))+(B194))+(B195))+(B196))+(B197))+(B198))+(B199))+(B200)</f>
        <v>33437.64</v>
      </c>
      <c r="C201" s="10">
        <f t="shared" si="18"/>
        <v>71070.62</v>
      </c>
      <c r="D201" s="11">
        <f t="shared" si="18"/>
        <v>75550</v>
      </c>
      <c r="E201" s="11">
        <f t="shared" si="18"/>
        <v>64613</v>
      </c>
      <c r="F201" s="10">
        <f t="shared" si="18"/>
        <v>65350</v>
      </c>
      <c r="G201" s="22">
        <f t="shared" si="18"/>
        <v>77350</v>
      </c>
      <c r="H201" s="3" t="s">
        <v>297</v>
      </c>
    </row>
    <row r="202" spans="1:8" x14ac:dyDescent="0.25">
      <c r="A202" s="8"/>
      <c r="B202" s="14"/>
      <c r="C202" s="14"/>
      <c r="D202" s="14"/>
      <c r="E202" s="14"/>
      <c r="F202" s="14"/>
      <c r="G202" s="28"/>
    </row>
    <row r="203" spans="1:8" x14ac:dyDescent="0.25">
      <c r="A203" s="8" t="s">
        <v>181</v>
      </c>
      <c r="B203" s="9"/>
      <c r="C203" s="9"/>
      <c r="D203" s="9"/>
      <c r="F203" s="9"/>
      <c r="G203" s="9"/>
    </row>
    <row r="204" spans="1:8" x14ac:dyDescent="0.25">
      <c r="A204" s="8" t="s">
        <v>182</v>
      </c>
      <c r="B204" s="9">
        <f>1046</f>
        <v>1046</v>
      </c>
      <c r="C204" s="9">
        <f>290</f>
        <v>290</v>
      </c>
      <c r="D204" s="9">
        <f>310</f>
        <v>310</v>
      </c>
      <c r="E204" s="2">
        <v>180</v>
      </c>
      <c r="F204" s="9">
        <f>310</f>
        <v>310</v>
      </c>
      <c r="G204" s="9">
        <f>310</f>
        <v>310</v>
      </c>
    </row>
    <row r="205" spans="1:8" x14ac:dyDescent="0.25">
      <c r="A205" s="8" t="s">
        <v>183</v>
      </c>
      <c r="B205" s="9"/>
      <c r="C205" s="9">
        <f>120</f>
        <v>120</v>
      </c>
      <c r="D205" s="9">
        <f>815.55</f>
        <v>815.55</v>
      </c>
      <c r="E205" s="2">
        <v>664</v>
      </c>
      <c r="F205" s="9">
        <f>815.55</f>
        <v>815.55</v>
      </c>
      <c r="G205" s="9">
        <f>815.55</f>
        <v>815.55</v>
      </c>
    </row>
    <row r="206" spans="1:8" x14ac:dyDescent="0.25">
      <c r="A206" s="8" t="s">
        <v>184</v>
      </c>
      <c r="B206" s="9"/>
      <c r="C206" s="9">
        <f>2248.88</f>
        <v>2248.88</v>
      </c>
      <c r="D206" s="9">
        <f>961.18</f>
        <v>961.18</v>
      </c>
      <c r="F206" s="9">
        <f>961.18</f>
        <v>961.18</v>
      </c>
      <c r="G206" s="9">
        <f>961.18</f>
        <v>961.18</v>
      </c>
    </row>
    <row r="207" spans="1:8" x14ac:dyDescent="0.25">
      <c r="A207" s="8" t="s">
        <v>185</v>
      </c>
      <c r="B207" s="9"/>
      <c r="C207" s="9"/>
      <c r="D207" s="9"/>
      <c r="F207" s="9"/>
      <c r="G207" s="9"/>
    </row>
    <row r="208" spans="1:8" x14ac:dyDescent="0.25">
      <c r="A208" s="8" t="s">
        <v>186</v>
      </c>
      <c r="B208" s="10">
        <f t="shared" ref="B208:G208" si="19">((((B203)+(B204))+(B205))+(B206))+(B207)</f>
        <v>1046</v>
      </c>
      <c r="C208" s="10">
        <f t="shared" si="19"/>
        <v>2658.88</v>
      </c>
      <c r="D208" s="11">
        <f t="shared" si="19"/>
        <v>2086.73</v>
      </c>
      <c r="E208" s="11">
        <f t="shared" si="19"/>
        <v>844</v>
      </c>
      <c r="F208" s="10">
        <f t="shared" si="19"/>
        <v>2086.73</v>
      </c>
      <c r="G208" s="10">
        <f t="shared" si="19"/>
        <v>2086.73</v>
      </c>
    </row>
    <row r="209" spans="1:7" x14ac:dyDescent="0.25">
      <c r="A209" s="8"/>
      <c r="B209" s="14"/>
      <c r="C209" s="14"/>
      <c r="D209" s="14"/>
      <c r="E209" s="14"/>
      <c r="F209" s="14"/>
      <c r="G209" s="14"/>
    </row>
    <row r="210" spans="1:7" x14ac:dyDescent="0.25">
      <c r="A210" s="8" t="s">
        <v>187</v>
      </c>
      <c r="B210" s="9"/>
      <c r="C210" s="9"/>
      <c r="D210" s="9"/>
      <c r="F210" s="9"/>
      <c r="G210" s="9"/>
    </row>
    <row r="211" spans="1:7" x14ac:dyDescent="0.25">
      <c r="A211" s="8" t="s">
        <v>188</v>
      </c>
      <c r="B211" s="9">
        <f>6302.76</f>
        <v>6302.76</v>
      </c>
      <c r="C211" s="9">
        <f>5620.62</f>
        <v>5620.62</v>
      </c>
      <c r="D211" s="9">
        <f>5065.76</f>
        <v>5065.76</v>
      </c>
      <c r="E211" s="2">
        <v>5952</v>
      </c>
      <c r="F211" s="9">
        <f>10000</f>
        <v>10000</v>
      </c>
      <c r="G211" s="9">
        <f>10000</f>
        <v>10000</v>
      </c>
    </row>
    <row r="212" spans="1:7" x14ac:dyDescent="0.25">
      <c r="A212" s="8" t="s">
        <v>189</v>
      </c>
      <c r="B212" s="9">
        <f>7316.25</f>
        <v>7316.25</v>
      </c>
      <c r="C212" s="9">
        <f>7648.44</f>
        <v>7648.44</v>
      </c>
      <c r="D212" s="9">
        <f>7758.63</f>
        <v>7758.63</v>
      </c>
      <c r="E212" s="2">
        <v>8765</v>
      </c>
      <c r="F212" s="9">
        <f>8400</f>
        <v>8400</v>
      </c>
      <c r="G212" s="9">
        <f>8400</f>
        <v>8400</v>
      </c>
    </row>
    <row r="213" spans="1:7" x14ac:dyDescent="0.25">
      <c r="A213" s="8" t="s">
        <v>190</v>
      </c>
      <c r="B213" s="9">
        <f>14.25</f>
        <v>14.25</v>
      </c>
      <c r="C213" s="9">
        <f>261.02</f>
        <v>261.02</v>
      </c>
      <c r="D213" s="9"/>
      <c r="E213" s="2">
        <v>1104</v>
      </c>
      <c r="F213" s="9">
        <f>400</f>
        <v>400</v>
      </c>
      <c r="G213" s="9">
        <f>400</f>
        <v>400</v>
      </c>
    </row>
    <row r="214" spans="1:7" x14ac:dyDescent="0.25">
      <c r="A214" s="8" t="s">
        <v>191</v>
      </c>
      <c r="B214" s="9">
        <f>6483.95</f>
        <v>6483.95</v>
      </c>
      <c r="C214" s="9">
        <f>3490</f>
        <v>3490</v>
      </c>
      <c r="D214" s="9">
        <f>3195</f>
        <v>3195</v>
      </c>
      <c r="E214" s="2">
        <v>5190</v>
      </c>
      <c r="F214" s="9">
        <v>9000</v>
      </c>
      <c r="G214" s="9">
        <f>4000</f>
        <v>4000</v>
      </c>
    </row>
    <row r="215" spans="1:7" x14ac:dyDescent="0.25">
      <c r="A215" s="8" t="s">
        <v>192</v>
      </c>
      <c r="B215" s="9">
        <f>2453.2</f>
        <v>2453.1999999999998</v>
      </c>
      <c r="C215" s="9">
        <f>1041.17</f>
        <v>1041.17</v>
      </c>
      <c r="D215" s="9">
        <f>1432.43</f>
        <v>1432.43</v>
      </c>
      <c r="E215" s="2">
        <v>3137</v>
      </c>
      <c r="F215" s="9">
        <f>1200</f>
        <v>1200</v>
      </c>
      <c r="G215" s="9">
        <f>1200</f>
        <v>1200</v>
      </c>
    </row>
    <row r="216" spans="1:7" x14ac:dyDescent="0.25">
      <c r="A216" s="8" t="s">
        <v>193</v>
      </c>
      <c r="B216" s="9">
        <f>246.35</f>
        <v>246.35</v>
      </c>
      <c r="C216" s="9">
        <f>1866.61</f>
        <v>1866.61</v>
      </c>
      <c r="D216" s="9">
        <f>3553.74</f>
        <v>3553.74</v>
      </c>
      <c r="E216" s="2">
        <v>1637</v>
      </c>
      <c r="F216" s="9">
        <f>2400</f>
        <v>2400</v>
      </c>
      <c r="G216" s="9">
        <f>2400</f>
        <v>2400</v>
      </c>
    </row>
    <row r="217" spans="1:7" x14ac:dyDescent="0.25">
      <c r="A217" s="8" t="s">
        <v>194</v>
      </c>
      <c r="B217" s="10">
        <f t="shared" ref="B217:G217" si="20">((((((B210)+(B211))+(B212))+(B213))+(B214))+(B215))+(B216)</f>
        <v>22816.76</v>
      </c>
      <c r="C217" s="10">
        <f t="shared" si="20"/>
        <v>19927.86</v>
      </c>
      <c r="D217" s="11">
        <f t="shared" si="20"/>
        <v>21005.559999999998</v>
      </c>
      <c r="E217" s="11">
        <f t="shared" si="20"/>
        <v>25785</v>
      </c>
      <c r="F217" s="10">
        <f t="shared" si="20"/>
        <v>31400</v>
      </c>
      <c r="G217" s="10">
        <f t="shared" si="20"/>
        <v>26400</v>
      </c>
    </row>
    <row r="218" spans="1:7" x14ac:dyDescent="0.25">
      <c r="A218" s="8"/>
      <c r="B218" s="14"/>
      <c r="C218" s="14"/>
      <c r="D218" s="14"/>
      <c r="E218" s="14"/>
      <c r="F218" s="14"/>
      <c r="G218" s="14"/>
    </row>
    <row r="219" spans="1:7" x14ac:dyDescent="0.25">
      <c r="A219" s="8" t="s">
        <v>195</v>
      </c>
      <c r="B219" s="9"/>
      <c r="C219" s="9"/>
      <c r="D219" s="9"/>
      <c r="F219" s="9"/>
      <c r="G219" s="9"/>
    </row>
    <row r="220" spans="1:7" x14ac:dyDescent="0.25">
      <c r="A220" s="8" t="s">
        <v>196</v>
      </c>
      <c r="B220" s="9">
        <f>449.38</f>
        <v>449.38</v>
      </c>
      <c r="C220" s="9">
        <f>21.83</f>
        <v>21.83</v>
      </c>
      <c r="D220" s="9">
        <f>60</f>
        <v>60</v>
      </c>
      <c r="E220" s="2">
        <v>265</v>
      </c>
      <c r="F220" s="9">
        <f>240</f>
        <v>240</v>
      </c>
      <c r="G220" s="9">
        <f>240</f>
        <v>240</v>
      </c>
    </row>
    <row r="221" spans="1:7" x14ac:dyDescent="0.25">
      <c r="A221" s="8" t="s">
        <v>197</v>
      </c>
      <c r="B221" s="9">
        <f>495</f>
        <v>495</v>
      </c>
      <c r="C221" s="9">
        <f>1798.5</f>
        <v>1798.5</v>
      </c>
      <c r="D221" s="9">
        <f>1533.05</f>
        <v>1533.05</v>
      </c>
      <c r="E221" s="2">
        <v>1841</v>
      </c>
      <c r="F221" s="9">
        <f>2000</f>
        <v>2000</v>
      </c>
      <c r="G221" s="9">
        <f>2000</f>
        <v>2000</v>
      </c>
    </row>
    <row r="222" spans="1:7" x14ac:dyDescent="0.25">
      <c r="A222" s="8" t="s">
        <v>198</v>
      </c>
      <c r="B222" s="9">
        <f>2938.59</f>
        <v>2938.59</v>
      </c>
      <c r="C222" s="9">
        <f>5960.4</f>
        <v>5960.4</v>
      </c>
      <c r="D222" s="9">
        <f>2894.8</f>
        <v>2894.8</v>
      </c>
      <c r="E222" s="2">
        <v>3596</v>
      </c>
      <c r="F222" s="9">
        <f>5200</f>
        <v>5200</v>
      </c>
      <c r="G222" s="9">
        <f>5200</f>
        <v>5200</v>
      </c>
    </row>
    <row r="223" spans="1:7" x14ac:dyDescent="0.25">
      <c r="A223" s="8" t="s">
        <v>199</v>
      </c>
      <c r="B223" s="10">
        <f t="shared" ref="B223:G223" si="21">(((B219)+(B220))+(B221))+(B222)</f>
        <v>3882.9700000000003</v>
      </c>
      <c r="C223" s="10">
        <f t="shared" si="21"/>
        <v>7780.73</v>
      </c>
      <c r="D223" s="11">
        <f t="shared" si="21"/>
        <v>4487.8500000000004</v>
      </c>
      <c r="E223" s="11">
        <f t="shared" si="21"/>
        <v>5702</v>
      </c>
      <c r="F223" s="10">
        <f t="shared" si="21"/>
        <v>7440</v>
      </c>
      <c r="G223" s="10">
        <f t="shared" si="21"/>
        <v>7440</v>
      </c>
    </row>
    <row r="224" spans="1:7" x14ac:dyDescent="0.25">
      <c r="A224" s="8"/>
      <c r="B224" s="14"/>
      <c r="C224" s="14"/>
      <c r="D224" s="14"/>
      <c r="E224" s="14"/>
      <c r="F224" s="14"/>
      <c r="G224" s="14"/>
    </row>
    <row r="225" spans="1:8" x14ac:dyDescent="0.25">
      <c r="A225" s="8" t="s">
        <v>200</v>
      </c>
      <c r="B225" s="9"/>
      <c r="C225" s="9"/>
      <c r="D225" s="9"/>
      <c r="F225" s="9"/>
      <c r="G225" s="9"/>
    </row>
    <row r="226" spans="1:8" x14ac:dyDescent="0.25">
      <c r="A226" s="8" t="s">
        <v>201</v>
      </c>
      <c r="B226" s="9">
        <f>11045.55</f>
        <v>11045.55</v>
      </c>
      <c r="C226" s="9">
        <f>11757.6</f>
        <v>11757.6</v>
      </c>
      <c r="D226" s="9">
        <f>10570.54</f>
        <v>10570.54</v>
      </c>
      <c r="E226" s="2">
        <v>14013</v>
      </c>
      <c r="F226" s="9">
        <f>12800</f>
        <v>12800</v>
      </c>
      <c r="G226" s="9">
        <f>12800</f>
        <v>12800</v>
      </c>
    </row>
    <row r="227" spans="1:8" x14ac:dyDescent="0.25">
      <c r="A227" s="29" t="s">
        <v>300</v>
      </c>
      <c r="B227" s="9"/>
      <c r="C227" s="9"/>
      <c r="D227" s="9"/>
      <c r="F227" s="25">
        <v>5000</v>
      </c>
      <c r="G227" s="25">
        <v>5000</v>
      </c>
      <c r="H227" s="27" t="s">
        <v>301</v>
      </c>
    </row>
    <row r="228" spans="1:8" x14ac:dyDescent="0.25">
      <c r="A228" s="8" t="s">
        <v>202</v>
      </c>
      <c r="B228" s="9"/>
      <c r="C228" s="9"/>
      <c r="D228" s="9"/>
      <c r="F228" s="9"/>
      <c r="G228" s="9"/>
    </row>
    <row r="229" spans="1:8" x14ac:dyDescent="0.25">
      <c r="A229" s="8" t="s">
        <v>203</v>
      </c>
      <c r="B229" s="9"/>
      <c r="C229" s="9">
        <f>9960</f>
        <v>9960</v>
      </c>
      <c r="D229" s="9">
        <f>10150</f>
        <v>10150</v>
      </c>
      <c r="E229" s="2">
        <v>10500</v>
      </c>
      <c r="F229" s="9">
        <f>14000</f>
        <v>14000</v>
      </c>
      <c r="G229" s="9">
        <f>14000</f>
        <v>14000</v>
      </c>
    </row>
    <row r="230" spans="1:8" hidden="1" x14ac:dyDescent="0.25">
      <c r="A230" s="8" t="s">
        <v>204</v>
      </c>
      <c r="B230" s="9">
        <f>6346</f>
        <v>6346</v>
      </c>
      <c r="C230" s="9"/>
      <c r="D230" s="9"/>
      <c r="F230" s="9"/>
      <c r="G230" s="9"/>
    </row>
    <row r="231" spans="1:8" x14ac:dyDescent="0.25">
      <c r="A231" s="8" t="s">
        <v>205</v>
      </c>
      <c r="B231" s="9"/>
      <c r="C231" s="9"/>
      <c r="D231" s="9"/>
      <c r="E231" s="2">
        <v>5870</v>
      </c>
      <c r="F231" s="9"/>
      <c r="G231" s="9"/>
    </row>
    <row r="232" spans="1:8" x14ac:dyDescent="0.25">
      <c r="A232" s="8" t="s">
        <v>206</v>
      </c>
      <c r="B232" s="9"/>
      <c r="C232" s="9">
        <f>3888</f>
        <v>3888</v>
      </c>
      <c r="D232" s="9">
        <f>9077.5</f>
        <v>9077.5</v>
      </c>
      <c r="F232" s="9">
        <v>10000</v>
      </c>
      <c r="G232" s="9">
        <v>10000</v>
      </c>
    </row>
    <row r="233" spans="1:8" x14ac:dyDescent="0.25">
      <c r="A233" s="8" t="s">
        <v>207</v>
      </c>
      <c r="B233" s="10">
        <f t="shared" ref="B233:G233" si="22">((((B228)+(B229))+(B230))+(B231))+(B232)</f>
        <v>6346</v>
      </c>
      <c r="C233" s="10">
        <f t="shared" si="22"/>
        <v>13848</v>
      </c>
      <c r="D233" s="11">
        <f t="shared" si="22"/>
        <v>19227.5</v>
      </c>
      <c r="E233" s="11">
        <f t="shared" si="22"/>
        <v>16370</v>
      </c>
      <c r="F233" s="10">
        <f t="shared" si="22"/>
        <v>24000</v>
      </c>
      <c r="G233" s="10">
        <f t="shared" si="22"/>
        <v>24000</v>
      </c>
    </row>
    <row r="234" spans="1:8" x14ac:dyDescent="0.25">
      <c r="A234" s="8"/>
      <c r="B234" s="14"/>
      <c r="C234" s="14"/>
      <c r="D234" s="14"/>
      <c r="E234" s="14"/>
      <c r="F234" s="14"/>
      <c r="G234" s="14"/>
    </row>
    <row r="235" spans="1:8" x14ac:dyDescent="0.25">
      <c r="A235" s="8" t="s">
        <v>208</v>
      </c>
      <c r="B235" s="9"/>
      <c r="C235" s="9"/>
      <c r="D235" s="9">
        <f>60</f>
        <v>60</v>
      </c>
      <c r="F235" s="9">
        <v>0</v>
      </c>
      <c r="G235" s="9">
        <v>0</v>
      </c>
    </row>
    <row r="236" spans="1:8" x14ac:dyDescent="0.25">
      <c r="A236" s="26" t="s">
        <v>298</v>
      </c>
      <c r="B236" s="9"/>
      <c r="C236" s="9"/>
      <c r="D236" s="9"/>
      <c r="F236" s="25">
        <v>5000</v>
      </c>
      <c r="G236" s="25">
        <v>5000</v>
      </c>
    </row>
    <row r="237" spans="1:8" x14ac:dyDescent="0.25">
      <c r="A237" s="8" t="s">
        <v>209</v>
      </c>
      <c r="B237" s="9"/>
      <c r="C237" s="9">
        <f>2941.25</f>
        <v>2941.25</v>
      </c>
      <c r="D237" s="9">
        <f>5547.38</f>
        <v>5547.38</v>
      </c>
      <c r="E237" s="2">
        <v>2238</v>
      </c>
      <c r="F237" s="9">
        <f>3500</f>
        <v>3500</v>
      </c>
      <c r="G237" s="9">
        <f>3500</f>
        <v>3500</v>
      </c>
    </row>
    <row r="238" spans="1:8" x14ac:dyDescent="0.25">
      <c r="A238" s="8" t="s">
        <v>210</v>
      </c>
      <c r="B238" s="9"/>
      <c r="C238" s="9">
        <f>8537.2</f>
        <v>8537.2000000000007</v>
      </c>
      <c r="D238" s="9">
        <f>6293.2</f>
        <v>6293.2</v>
      </c>
      <c r="E238" s="2">
        <v>7278</v>
      </c>
      <c r="F238" s="9">
        <f>7000</f>
        <v>7000</v>
      </c>
      <c r="G238" s="9">
        <f>7000</f>
        <v>7000</v>
      </c>
    </row>
    <row r="239" spans="1:8" hidden="1" x14ac:dyDescent="0.25">
      <c r="A239" s="8" t="s">
        <v>211</v>
      </c>
      <c r="B239" s="9">
        <f>4657.5</f>
        <v>4657.5</v>
      </c>
      <c r="C239" s="9"/>
      <c r="D239" s="9"/>
      <c r="F239" s="9"/>
      <c r="G239" s="9"/>
    </row>
    <row r="240" spans="1:8" x14ac:dyDescent="0.25">
      <c r="A240" s="8" t="s">
        <v>212</v>
      </c>
      <c r="B240" s="9">
        <f>2583.75</f>
        <v>2583.75</v>
      </c>
      <c r="C240" s="9">
        <f>2903</f>
        <v>2903</v>
      </c>
      <c r="D240" s="9">
        <f>2823.24</f>
        <v>2823.24</v>
      </c>
      <c r="E240" s="2">
        <v>2831</v>
      </c>
      <c r="F240" s="9">
        <f>3000</f>
        <v>3000</v>
      </c>
      <c r="G240" s="9">
        <f>3000</f>
        <v>3000</v>
      </c>
    </row>
    <row r="241" spans="1:8" x14ac:dyDescent="0.25">
      <c r="A241" s="8" t="s">
        <v>213</v>
      </c>
      <c r="B241" s="9">
        <f>5777.78</f>
        <v>5777.78</v>
      </c>
      <c r="C241" s="9">
        <f>5556.33</f>
        <v>5556.33</v>
      </c>
      <c r="D241" s="9">
        <f>7079.23</f>
        <v>7079.23</v>
      </c>
      <c r="E241" s="2">
        <v>6073</v>
      </c>
      <c r="F241" s="9">
        <f>7000</f>
        <v>7000</v>
      </c>
      <c r="G241" s="9">
        <f>7000</f>
        <v>7000</v>
      </c>
    </row>
    <row r="242" spans="1:8" x14ac:dyDescent="0.25">
      <c r="A242" s="8" t="s">
        <v>214</v>
      </c>
      <c r="B242" s="9">
        <f>5445.71</f>
        <v>5445.71</v>
      </c>
      <c r="C242" s="9">
        <f>5763.02</f>
        <v>5763.02</v>
      </c>
      <c r="D242" s="9">
        <f>5094.89</f>
        <v>5094.8900000000003</v>
      </c>
      <c r="E242" s="2">
        <v>5546</v>
      </c>
      <c r="F242" s="9">
        <f>6000</f>
        <v>6000</v>
      </c>
      <c r="G242" s="9">
        <f>6000</f>
        <v>6000</v>
      </c>
    </row>
    <row r="243" spans="1:8" x14ac:dyDescent="0.25">
      <c r="A243" s="8" t="s">
        <v>215</v>
      </c>
      <c r="B243" s="10">
        <f t="shared" ref="B243:E243" si="23">((((((B235)+(B237))+(B238))+(B239))+(B240))+(B241))+(B242)</f>
        <v>18464.739999999998</v>
      </c>
      <c r="C243" s="10">
        <f t="shared" si="23"/>
        <v>25700.799999999999</v>
      </c>
      <c r="D243" s="11">
        <f t="shared" si="23"/>
        <v>26897.94</v>
      </c>
      <c r="E243" s="11">
        <f t="shared" si="23"/>
        <v>23966</v>
      </c>
      <c r="F243" s="10">
        <f>SUM(F235:F242)</f>
        <v>31500</v>
      </c>
      <c r="G243" s="10">
        <f>SUM(G235:G242)</f>
        <v>31500</v>
      </c>
    </row>
    <row r="244" spans="1:8" x14ac:dyDescent="0.25">
      <c r="A244" s="8"/>
      <c r="B244" s="14"/>
      <c r="C244" s="14"/>
      <c r="D244" s="14"/>
      <c r="E244" s="14"/>
      <c r="F244" s="14"/>
      <c r="G244" s="14"/>
    </row>
    <row r="245" spans="1:8" x14ac:dyDescent="0.25">
      <c r="A245" s="8" t="s">
        <v>216</v>
      </c>
      <c r="B245" s="9"/>
      <c r="C245" s="9"/>
      <c r="D245" s="9"/>
      <c r="F245" s="9"/>
      <c r="G245" s="9"/>
    </row>
    <row r="246" spans="1:8" x14ac:dyDescent="0.25">
      <c r="A246" s="8" t="s">
        <v>217</v>
      </c>
      <c r="B246" s="9"/>
      <c r="C246" s="9">
        <f>2000</f>
        <v>2000</v>
      </c>
      <c r="D246" s="9"/>
      <c r="E246" s="2">
        <v>3000</v>
      </c>
      <c r="F246" s="9">
        <f>2000</f>
        <v>2000</v>
      </c>
      <c r="G246" s="9">
        <f>2000</f>
        <v>2000</v>
      </c>
    </row>
    <row r="247" spans="1:8" x14ac:dyDescent="0.25">
      <c r="A247" s="8" t="s">
        <v>218</v>
      </c>
      <c r="B247" s="9"/>
      <c r="C247" s="9">
        <f>13290</f>
        <v>13290</v>
      </c>
      <c r="D247" s="9">
        <f>16628</f>
        <v>16628</v>
      </c>
      <c r="E247" s="2">
        <v>18703</v>
      </c>
      <c r="F247" s="9">
        <v>21000</v>
      </c>
      <c r="G247" s="9">
        <v>23000</v>
      </c>
      <c r="H247" s="3" t="s">
        <v>302</v>
      </c>
    </row>
    <row r="248" spans="1:8" hidden="1" x14ac:dyDescent="0.25">
      <c r="A248" s="8" t="s">
        <v>219</v>
      </c>
      <c r="B248" s="9">
        <f>2705</f>
        <v>2705</v>
      </c>
      <c r="C248" s="9"/>
      <c r="D248" s="9"/>
      <c r="F248" s="9"/>
      <c r="G248" s="9"/>
    </row>
    <row r="249" spans="1:8" hidden="1" x14ac:dyDescent="0.25">
      <c r="A249" s="8" t="s">
        <v>220</v>
      </c>
      <c r="B249" s="9">
        <f>10000</f>
        <v>10000</v>
      </c>
      <c r="C249" s="9"/>
      <c r="D249" s="9"/>
      <c r="F249" s="9"/>
      <c r="G249" s="9"/>
    </row>
    <row r="250" spans="1:8" x14ac:dyDescent="0.25">
      <c r="A250" s="8" t="s">
        <v>221</v>
      </c>
      <c r="B250" s="9">
        <f>7194.52</f>
        <v>7194.52</v>
      </c>
      <c r="C250" s="9">
        <f>1700</f>
        <v>1700</v>
      </c>
      <c r="D250" s="9">
        <f>1700</f>
        <v>1700</v>
      </c>
      <c r="E250" s="2">
        <v>3000</v>
      </c>
      <c r="F250" s="9">
        <f>2600</f>
        <v>2600</v>
      </c>
      <c r="G250" s="9">
        <f>2600</f>
        <v>2600</v>
      </c>
    </row>
    <row r="251" spans="1:8" x14ac:dyDescent="0.25">
      <c r="A251" s="8" t="s">
        <v>222</v>
      </c>
      <c r="B251" s="9">
        <f>6552.27</f>
        <v>6552.27</v>
      </c>
      <c r="C251" s="9">
        <f>6677.27</f>
        <v>6677.27</v>
      </c>
      <c r="D251" s="9">
        <f>8212</f>
        <v>8212</v>
      </c>
      <c r="E251" s="2">
        <v>5300</v>
      </c>
      <c r="F251" s="9">
        <f>8000</f>
        <v>8000</v>
      </c>
      <c r="G251" s="9">
        <f>8000</f>
        <v>8000</v>
      </c>
    </row>
    <row r="252" spans="1:8" x14ac:dyDescent="0.25">
      <c r="A252" s="8" t="s">
        <v>223</v>
      </c>
      <c r="B252" s="9">
        <f>9779</f>
        <v>9779</v>
      </c>
      <c r="C252" s="9">
        <f>6377.5</f>
        <v>6377.5</v>
      </c>
      <c r="D252" s="9">
        <f>6000</f>
        <v>6000</v>
      </c>
      <c r="E252" s="2">
        <v>7500</v>
      </c>
      <c r="F252" s="9">
        <v>10000</v>
      </c>
      <c r="G252" s="9">
        <v>12000</v>
      </c>
      <c r="H252" s="3" t="s">
        <v>302</v>
      </c>
    </row>
    <row r="253" spans="1:8" x14ac:dyDescent="0.25">
      <c r="A253" s="8" t="s">
        <v>224</v>
      </c>
      <c r="B253" s="10">
        <f t="shared" ref="B253:G253" si="24">(((((((B245)+(B246))+(B247))+(B248))+(B249))+(B250))+(B251))+(B252)</f>
        <v>36230.79</v>
      </c>
      <c r="C253" s="10">
        <f t="shared" si="24"/>
        <v>30044.77</v>
      </c>
      <c r="D253" s="11">
        <f t="shared" si="24"/>
        <v>32540</v>
      </c>
      <c r="E253" s="11">
        <f t="shared" si="24"/>
        <v>37503</v>
      </c>
      <c r="F253" s="10">
        <f t="shared" si="24"/>
        <v>43600</v>
      </c>
      <c r="G253" s="10">
        <f t="shared" si="24"/>
        <v>47600</v>
      </c>
    </row>
    <row r="254" spans="1:8" hidden="1" x14ac:dyDescent="0.25">
      <c r="A254" s="8" t="s">
        <v>225</v>
      </c>
      <c r="B254" s="9">
        <f>31268</f>
        <v>31268</v>
      </c>
      <c r="C254" s="9"/>
      <c r="D254" s="9"/>
      <c r="F254" s="9"/>
      <c r="G254" s="9"/>
    </row>
    <row r="255" spans="1:8" x14ac:dyDescent="0.25">
      <c r="A255" s="8" t="s">
        <v>226</v>
      </c>
      <c r="B255" s="10">
        <f t="shared" ref="B255:G255" si="25">(((((B225)+(B226))+(B233))+(B243))+(B253))+(B254)</f>
        <v>103355.07999999999</v>
      </c>
      <c r="C255" s="10">
        <f t="shared" si="25"/>
        <v>81351.17</v>
      </c>
      <c r="D255" s="11">
        <f t="shared" si="25"/>
        <v>89235.98</v>
      </c>
      <c r="E255" s="11">
        <f t="shared" si="25"/>
        <v>91852</v>
      </c>
      <c r="F255" s="12">
        <f>F253+F243+F233+F227+F226</f>
        <v>116900</v>
      </c>
      <c r="G255" s="12">
        <f>G253+G243+G233+G227+G226</f>
        <v>120900</v>
      </c>
    </row>
    <row r="256" spans="1:8" hidden="1" x14ac:dyDescent="0.25">
      <c r="A256" s="8" t="s">
        <v>227</v>
      </c>
      <c r="B256" s="9">
        <f>3043</f>
        <v>3043</v>
      </c>
      <c r="C256" s="9"/>
      <c r="D256" s="9"/>
      <c r="F256" s="9"/>
      <c r="G256" s="9"/>
    </row>
    <row r="257" spans="1:7" x14ac:dyDescent="0.25">
      <c r="A257" s="8"/>
      <c r="B257" s="9"/>
      <c r="C257" s="9"/>
      <c r="D257" s="9"/>
      <c r="F257" s="9"/>
      <c r="G257" s="9"/>
    </row>
    <row r="258" spans="1:7" x14ac:dyDescent="0.25">
      <c r="A258" s="8" t="s">
        <v>228</v>
      </c>
      <c r="B258" s="9"/>
      <c r="C258" s="9"/>
      <c r="D258" s="9"/>
      <c r="F258" s="9"/>
      <c r="G258" s="9"/>
    </row>
    <row r="259" spans="1:7" x14ac:dyDescent="0.25">
      <c r="A259" s="8" t="s">
        <v>229</v>
      </c>
      <c r="B259" s="9"/>
      <c r="C259" s="9"/>
      <c r="D259" s="9"/>
      <c r="F259" s="9"/>
      <c r="G259" s="9"/>
    </row>
    <row r="260" spans="1:7" x14ac:dyDescent="0.25">
      <c r="A260" s="8" t="s">
        <v>230</v>
      </c>
      <c r="B260" s="9">
        <f>27138.61</f>
        <v>27138.61</v>
      </c>
      <c r="C260" s="9">
        <f>30851.72</f>
        <v>30851.72</v>
      </c>
      <c r="D260" s="9">
        <f>53159.36</f>
        <v>53159.360000000001</v>
      </c>
      <c r="E260" s="2">
        <v>50547</v>
      </c>
      <c r="F260" s="9">
        <f>57326.04</f>
        <v>57326.04</v>
      </c>
      <c r="G260" s="9">
        <v>61000</v>
      </c>
    </row>
    <row r="261" spans="1:7" x14ac:dyDescent="0.25">
      <c r="A261" s="8" t="s">
        <v>231</v>
      </c>
      <c r="B261" s="9">
        <f>6089.55</f>
        <v>6089.55</v>
      </c>
      <c r="C261" s="9">
        <f>10874.5</f>
        <v>10874.5</v>
      </c>
      <c r="D261" s="9">
        <f>12281.5</f>
        <v>12281.5</v>
      </c>
      <c r="E261" s="2">
        <v>13369</v>
      </c>
      <c r="F261" s="9">
        <f>13139.5</f>
        <v>13139.5</v>
      </c>
      <c r="G261" s="9">
        <v>14000</v>
      </c>
    </row>
    <row r="262" spans="1:7" x14ac:dyDescent="0.25">
      <c r="A262" s="8" t="s">
        <v>232</v>
      </c>
      <c r="B262" s="9">
        <f>5504.84</f>
        <v>5504.84</v>
      </c>
      <c r="C262" s="9">
        <f>7000</f>
        <v>7000</v>
      </c>
      <c r="D262" s="9">
        <f>6000</f>
        <v>6000</v>
      </c>
      <c r="E262" s="2">
        <v>5892</v>
      </c>
      <c r="F262" s="9">
        <v>7000</v>
      </c>
      <c r="G262" s="9">
        <v>7000</v>
      </c>
    </row>
    <row r="263" spans="1:7" hidden="1" x14ac:dyDescent="0.25">
      <c r="A263" s="8" t="s">
        <v>233</v>
      </c>
      <c r="B263" s="9">
        <f>0</f>
        <v>0</v>
      </c>
      <c r="C263" s="9"/>
      <c r="D263" s="9"/>
      <c r="F263" s="9"/>
      <c r="G263" s="9"/>
    </row>
    <row r="264" spans="1:7" x14ac:dyDescent="0.25">
      <c r="A264" s="8" t="s">
        <v>234</v>
      </c>
      <c r="B264" s="10">
        <f t="shared" ref="B264:G264" si="26">((((B259)+(B260))+(B261))+(B262))+(B263)</f>
        <v>38733</v>
      </c>
      <c r="C264" s="10">
        <f t="shared" si="26"/>
        <v>48726.22</v>
      </c>
      <c r="D264" s="11">
        <f t="shared" si="26"/>
        <v>71440.86</v>
      </c>
      <c r="E264" s="11">
        <f t="shared" si="26"/>
        <v>69808</v>
      </c>
      <c r="F264" s="10">
        <f t="shared" si="26"/>
        <v>77465.540000000008</v>
      </c>
      <c r="G264" s="10">
        <f t="shared" si="26"/>
        <v>82000</v>
      </c>
    </row>
    <row r="265" spans="1:7" hidden="1" x14ac:dyDescent="0.25">
      <c r="A265" s="8" t="s">
        <v>235</v>
      </c>
      <c r="B265" s="9"/>
      <c r="C265" s="9"/>
      <c r="D265" s="9"/>
      <c r="F265" s="9"/>
      <c r="G265" s="9"/>
    </row>
    <row r="266" spans="1:7" hidden="1" x14ac:dyDescent="0.25">
      <c r="A266" s="8" t="s">
        <v>236</v>
      </c>
      <c r="B266" s="9">
        <f>1751.35</f>
        <v>1751.35</v>
      </c>
      <c r="C266" s="9"/>
      <c r="D266" s="9"/>
      <c r="F266" s="9"/>
      <c r="G266" s="9"/>
    </row>
    <row r="267" spans="1:7" hidden="1" x14ac:dyDescent="0.25">
      <c r="A267" s="8" t="s">
        <v>237</v>
      </c>
      <c r="B267" s="9">
        <f>168.17</f>
        <v>168.17</v>
      </c>
      <c r="C267" s="9"/>
      <c r="D267" s="9"/>
      <c r="E267" s="2">
        <v>1504</v>
      </c>
      <c r="F267" s="9"/>
      <c r="G267" s="9"/>
    </row>
    <row r="268" spans="1:7" hidden="1" x14ac:dyDescent="0.25">
      <c r="A268" s="8" t="s">
        <v>238</v>
      </c>
      <c r="B268" s="9">
        <f>37.21</f>
        <v>37.21</v>
      </c>
      <c r="C268" s="9"/>
      <c r="D268" s="9"/>
      <c r="F268" s="9"/>
      <c r="G268" s="9"/>
    </row>
    <row r="269" spans="1:7" hidden="1" x14ac:dyDescent="0.25">
      <c r="A269" s="8" t="s">
        <v>239</v>
      </c>
      <c r="B269" s="9">
        <f>1104.7</f>
        <v>1104.7</v>
      </c>
      <c r="C269" s="9"/>
      <c r="D269" s="9"/>
      <c r="F269" s="9"/>
      <c r="G269" s="9"/>
    </row>
    <row r="270" spans="1:7" hidden="1" x14ac:dyDescent="0.25">
      <c r="A270" s="8" t="s">
        <v>240</v>
      </c>
      <c r="B270" s="9">
        <f>330.32</f>
        <v>330.32</v>
      </c>
      <c r="C270" s="9"/>
      <c r="D270" s="9"/>
      <c r="F270" s="9"/>
      <c r="G270" s="9"/>
    </row>
    <row r="271" spans="1:7" hidden="1" x14ac:dyDescent="0.25">
      <c r="A271" s="8" t="s">
        <v>241</v>
      </c>
      <c r="B271" s="9">
        <f>300.28</f>
        <v>300.27999999999997</v>
      </c>
      <c r="C271" s="9">
        <f>292.88</f>
        <v>292.88</v>
      </c>
      <c r="D271" s="9">
        <f>120.14</f>
        <v>120.14</v>
      </c>
      <c r="E271" s="2">
        <v>300</v>
      </c>
      <c r="F271" s="9">
        <f>300</f>
        <v>300</v>
      </c>
      <c r="G271" s="9">
        <f>300</f>
        <v>300</v>
      </c>
    </row>
    <row r="272" spans="1:7" hidden="1" x14ac:dyDescent="0.25">
      <c r="A272" s="8" t="s">
        <v>242</v>
      </c>
      <c r="B272" s="9">
        <f>2363.63</f>
        <v>2363.63</v>
      </c>
      <c r="C272" s="9"/>
      <c r="D272" s="9"/>
      <c r="F272" s="9"/>
      <c r="G272" s="9"/>
    </row>
    <row r="273" spans="1:7" hidden="1" x14ac:dyDescent="0.25">
      <c r="A273" s="8" t="s">
        <v>243</v>
      </c>
      <c r="B273" s="9"/>
      <c r="C273" s="9"/>
      <c r="D273" s="9"/>
      <c r="F273" s="9"/>
      <c r="G273" s="9"/>
    </row>
    <row r="274" spans="1:7" hidden="1" x14ac:dyDescent="0.25">
      <c r="A274" s="8" t="s">
        <v>244</v>
      </c>
      <c r="B274" s="9">
        <f>343.08</f>
        <v>343.08</v>
      </c>
      <c r="C274" s="9">
        <f>1057.85</f>
        <v>1057.8499999999999</v>
      </c>
      <c r="D274" s="9"/>
      <c r="F274" s="9"/>
      <c r="G274" s="9"/>
    </row>
    <row r="275" spans="1:7" hidden="1" x14ac:dyDescent="0.25">
      <c r="A275" s="8" t="s">
        <v>245</v>
      </c>
      <c r="B275" s="9">
        <f>3711</f>
        <v>3711</v>
      </c>
      <c r="C275" s="9">
        <f>0</f>
        <v>0</v>
      </c>
      <c r="D275" s="9"/>
      <c r="F275" s="9"/>
      <c r="G275" s="9"/>
    </row>
    <row r="276" spans="1:7" hidden="1" x14ac:dyDescent="0.25">
      <c r="A276" s="8" t="s">
        <v>246</v>
      </c>
      <c r="B276" s="9"/>
      <c r="C276" s="9">
        <f>3304.81</f>
        <v>3304.81</v>
      </c>
      <c r="D276" s="9">
        <f>237.21</f>
        <v>237.21</v>
      </c>
      <c r="F276" s="9"/>
      <c r="G276" s="9"/>
    </row>
    <row r="277" spans="1:7" hidden="1" x14ac:dyDescent="0.25">
      <c r="A277" s="8" t="s">
        <v>247</v>
      </c>
      <c r="B277" s="10">
        <f t="shared" ref="B277:G277" si="27">(((B273)+(B274))+(B275))+(B276)</f>
        <v>4054.08</v>
      </c>
      <c r="C277" s="10">
        <f t="shared" si="27"/>
        <v>4362.66</v>
      </c>
      <c r="D277" s="11">
        <f t="shared" si="27"/>
        <v>237.21</v>
      </c>
      <c r="E277" s="11">
        <f t="shared" si="27"/>
        <v>0</v>
      </c>
      <c r="F277" s="10">
        <f t="shared" si="27"/>
        <v>0</v>
      </c>
      <c r="G277" s="10">
        <f t="shared" si="27"/>
        <v>0</v>
      </c>
    </row>
    <row r="278" spans="1:7" hidden="1" x14ac:dyDescent="0.25">
      <c r="A278" s="8" t="s">
        <v>248</v>
      </c>
      <c r="B278" s="9"/>
      <c r="C278" s="9"/>
      <c r="D278" s="9"/>
      <c r="F278" s="9"/>
      <c r="G278" s="9"/>
    </row>
    <row r="279" spans="1:7" hidden="1" x14ac:dyDescent="0.25">
      <c r="A279" s="8" t="s">
        <v>249</v>
      </c>
      <c r="B279" s="9"/>
      <c r="C279" s="9"/>
      <c r="D279" s="9"/>
      <c r="E279" s="2">
        <v>514</v>
      </c>
      <c r="F279" s="9"/>
      <c r="G279" s="9"/>
    </row>
    <row r="280" spans="1:7" hidden="1" x14ac:dyDescent="0.25">
      <c r="A280" s="8" t="s">
        <v>250</v>
      </c>
      <c r="B280" s="9"/>
      <c r="C280" s="9"/>
      <c r="D280" s="9"/>
      <c r="E280" s="2">
        <v>2083</v>
      </c>
      <c r="F280" s="9"/>
      <c r="G280" s="9"/>
    </row>
    <row r="281" spans="1:7" hidden="1" x14ac:dyDescent="0.25">
      <c r="A281" s="8" t="s">
        <v>251</v>
      </c>
      <c r="B281" s="9"/>
      <c r="C281" s="9"/>
      <c r="D281" s="9"/>
      <c r="E281" s="2">
        <v>250</v>
      </c>
      <c r="F281" s="9"/>
      <c r="G281" s="9"/>
    </row>
    <row r="282" spans="1:7" hidden="1" x14ac:dyDescent="0.25">
      <c r="A282" s="8" t="s">
        <v>252</v>
      </c>
      <c r="B282" s="10">
        <f t="shared" ref="B282:G282" si="28">(((B278)+(B279))+(B280))+(B281)</f>
        <v>0</v>
      </c>
      <c r="C282" s="10">
        <f t="shared" si="28"/>
        <v>0</v>
      </c>
      <c r="D282" s="11">
        <f t="shared" si="28"/>
        <v>0</v>
      </c>
      <c r="E282" s="11">
        <f t="shared" si="28"/>
        <v>2847</v>
      </c>
      <c r="F282" s="10">
        <f t="shared" si="28"/>
        <v>0</v>
      </c>
      <c r="G282" s="10">
        <f t="shared" si="28"/>
        <v>0</v>
      </c>
    </row>
    <row r="283" spans="1:7" x14ac:dyDescent="0.25">
      <c r="A283" s="8" t="s">
        <v>253</v>
      </c>
      <c r="B283" s="10">
        <f t="shared" ref="B283:G283" si="29">(((((((((((B258)+(B264))+(B265))+(B266))+(B267))+(B268))+(B269))+(B270))+(B271))+(B272))+(B277))+(B282)</f>
        <v>48842.739999999991</v>
      </c>
      <c r="C283" s="10">
        <f t="shared" si="29"/>
        <v>53381.759999999995</v>
      </c>
      <c r="D283" s="11">
        <f t="shared" si="29"/>
        <v>71798.210000000006</v>
      </c>
      <c r="E283" s="11">
        <f t="shared" si="29"/>
        <v>74459</v>
      </c>
      <c r="F283" s="10">
        <f t="shared" si="29"/>
        <v>77765.540000000008</v>
      </c>
      <c r="G283" s="10">
        <f t="shared" si="29"/>
        <v>82300</v>
      </c>
    </row>
    <row r="284" spans="1:7" hidden="1" x14ac:dyDescent="0.25">
      <c r="A284" s="8" t="s">
        <v>254</v>
      </c>
      <c r="B284" s="9"/>
      <c r="C284" s="9"/>
      <c r="D284" s="9"/>
      <c r="F284" s="9"/>
      <c r="G284" s="9"/>
    </row>
    <row r="285" spans="1:7" hidden="1" x14ac:dyDescent="0.25">
      <c r="A285" s="8" t="s">
        <v>255</v>
      </c>
      <c r="B285" s="9"/>
      <c r="C285" s="9"/>
      <c r="D285" s="9">
        <f>6507.88</f>
        <v>6507.88</v>
      </c>
      <c r="E285" s="2">
        <v>4185</v>
      </c>
      <c r="F285" s="9">
        <f>6507.88</f>
        <v>6507.88</v>
      </c>
      <c r="G285" s="9">
        <f>6507.88</f>
        <v>6507.88</v>
      </c>
    </row>
    <row r="286" spans="1:7" hidden="1" x14ac:dyDescent="0.25">
      <c r="A286" s="8" t="s">
        <v>256</v>
      </c>
      <c r="B286" s="10">
        <f t="shared" ref="B286:G286" si="30">(B284)+(B285)</f>
        <v>0</v>
      </c>
      <c r="C286" s="10">
        <f t="shared" si="30"/>
        <v>0</v>
      </c>
      <c r="D286" s="11">
        <f t="shared" si="30"/>
        <v>6507.88</v>
      </c>
      <c r="E286" s="11">
        <f t="shared" si="30"/>
        <v>4185</v>
      </c>
      <c r="F286" s="10">
        <f t="shared" si="30"/>
        <v>6507.88</v>
      </c>
      <c r="G286" s="10">
        <f t="shared" si="30"/>
        <v>6507.88</v>
      </c>
    </row>
    <row r="287" spans="1:7" hidden="1" x14ac:dyDescent="0.25">
      <c r="A287" s="8" t="s">
        <v>257</v>
      </c>
      <c r="B287" s="9"/>
      <c r="C287" s="9">
        <f>235</f>
        <v>235</v>
      </c>
      <c r="D287" s="9">
        <f>348</f>
        <v>348</v>
      </c>
      <c r="F287" s="9">
        <f>348</f>
        <v>348</v>
      </c>
      <c r="G287" s="9">
        <f>348</f>
        <v>348</v>
      </c>
    </row>
    <row r="288" spans="1:7" hidden="1" x14ac:dyDescent="0.25">
      <c r="A288" s="8" t="s">
        <v>258</v>
      </c>
      <c r="B288" s="9"/>
      <c r="C288" s="9"/>
      <c r="D288" s="9"/>
      <c r="F288" s="9"/>
      <c r="G288" s="9"/>
    </row>
    <row r="289" spans="1:7" hidden="1" x14ac:dyDescent="0.25">
      <c r="A289" s="8" t="s">
        <v>259</v>
      </c>
      <c r="B289" s="9"/>
      <c r="C289" s="9"/>
      <c r="D289" s="9"/>
      <c r="F289" s="9"/>
      <c r="G289" s="9"/>
    </row>
    <row r="290" spans="1:7" hidden="1" x14ac:dyDescent="0.25">
      <c r="A290" s="8" t="s">
        <v>260</v>
      </c>
      <c r="B290" s="9"/>
      <c r="C290" s="9"/>
      <c r="D290" s="9"/>
      <c r="F290" s="9"/>
      <c r="G290" s="9"/>
    </row>
    <row r="291" spans="1:7" hidden="1" x14ac:dyDescent="0.25">
      <c r="A291" s="8" t="s">
        <v>261</v>
      </c>
      <c r="B291" s="9"/>
      <c r="C291" s="9"/>
      <c r="D291" s="9"/>
      <c r="F291" s="9"/>
      <c r="G291" s="9"/>
    </row>
    <row r="292" spans="1:7" hidden="1" x14ac:dyDescent="0.25">
      <c r="A292" s="8" t="s">
        <v>262</v>
      </c>
      <c r="B292" s="9"/>
      <c r="C292" s="9"/>
      <c r="D292" s="9">
        <f>-494.68</f>
        <v>-494.68</v>
      </c>
      <c r="F292" s="9"/>
      <c r="G292" s="9"/>
    </row>
    <row r="293" spans="1:7" hidden="1" x14ac:dyDescent="0.25">
      <c r="A293" s="8" t="s">
        <v>263</v>
      </c>
      <c r="B293" s="9"/>
      <c r="C293" s="9"/>
      <c r="D293" s="9"/>
      <c r="F293" s="9"/>
      <c r="G293" s="9"/>
    </row>
    <row r="294" spans="1:7" hidden="1" x14ac:dyDescent="0.25">
      <c r="A294" s="8" t="s">
        <v>264</v>
      </c>
      <c r="B294" s="9"/>
      <c r="C294" s="9"/>
      <c r="D294" s="9"/>
      <c r="F294" s="9"/>
      <c r="G294" s="9"/>
    </row>
    <row r="295" spans="1:7" hidden="1" x14ac:dyDescent="0.25">
      <c r="A295" s="8" t="s">
        <v>265</v>
      </c>
      <c r="B295" s="9"/>
      <c r="C295" s="9"/>
      <c r="D295" s="9">
        <f>9167</f>
        <v>9167</v>
      </c>
      <c r="F295" s="9"/>
      <c r="G295" s="9"/>
    </row>
    <row r="296" spans="1:7" hidden="1" x14ac:dyDescent="0.25">
      <c r="A296" s="8" t="s">
        <v>266</v>
      </c>
      <c r="B296" s="9"/>
      <c r="C296" s="9"/>
      <c r="D296" s="9">
        <f>13750</f>
        <v>13750</v>
      </c>
      <c r="F296" s="9"/>
      <c r="G296" s="9"/>
    </row>
    <row r="297" spans="1:7" hidden="1" x14ac:dyDescent="0.25">
      <c r="A297" s="8" t="s">
        <v>267</v>
      </c>
      <c r="B297" s="10">
        <f t="shared" ref="B297:G297" si="31">((B294)+(B295))+(B296)</f>
        <v>0</v>
      </c>
      <c r="C297" s="10">
        <f t="shared" si="31"/>
        <v>0</v>
      </c>
      <c r="D297" s="11">
        <f t="shared" si="31"/>
        <v>22917</v>
      </c>
      <c r="E297" s="11">
        <f t="shared" si="31"/>
        <v>0</v>
      </c>
      <c r="F297" s="10">
        <f t="shared" si="31"/>
        <v>0</v>
      </c>
      <c r="G297" s="10">
        <f t="shared" si="31"/>
        <v>0</v>
      </c>
    </row>
    <row r="298" spans="1:7" x14ac:dyDescent="0.25">
      <c r="A298" s="8"/>
      <c r="B298" s="10"/>
      <c r="C298" s="10"/>
      <c r="D298" s="10"/>
      <c r="E298" s="10"/>
      <c r="F298" s="10"/>
      <c r="G298" s="10"/>
    </row>
    <row r="299" spans="1:7" x14ac:dyDescent="0.25">
      <c r="A299" s="8" t="s">
        <v>268</v>
      </c>
      <c r="B299" s="10">
        <f t="shared" ref="B299:G299" si="32">((((((((((((((((((((((((((B150)+(B151))+(B152))+(B153))+(B154))+(B155))+(B156))+(B163))+(B173))+(B184))+(B189))+(B201))+(B208))+(B217))+(B223))+(B255))+(B256))+(B283))+(B286))+(B287))+(B288))+(B289))+(B290))+(B291))+(B292))+(B293))+(B297)</f>
        <v>367140.92</v>
      </c>
      <c r="C299" s="10">
        <f t="shared" si="32"/>
        <v>383008.07000000007</v>
      </c>
      <c r="D299" s="11">
        <f t="shared" si="32"/>
        <v>411756.03</v>
      </c>
      <c r="E299" s="11">
        <f t="shared" si="32"/>
        <v>419235</v>
      </c>
      <c r="F299" s="10">
        <f t="shared" si="32"/>
        <v>463621.07000000007</v>
      </c>
      <c r="G299" s="10">
        <f t="shared" si="32"/>
        <v>458855.53</v>
      </c>
    </row>
    <row r="300" spans="1:7" x14ac:dyDescent="0.25">
      <c r="A300" s="8" t="s">
        <v>269</v>
      </c>
      <c r="B300" s="10">
        <f>(B113)-(B299)</f>
        <v>44005.349999999977</v>
      </c>
      <c r="C300" s="10">
        <f>(C113)-(C299)</f>
        <v>60411.299999999988</v>
      </c>
      <c r="D300" s="11">
        <f>(D113)-(D299)</f>
        <v>-12017.030000000028</v>
      </c>
      <c r="E300" s="10">
        <f>E109-E299</f>
        <v>-2132</v>
      </c>
      <c r="F300" s="10">
        <f>(F113)-(F299)</f>
        <v>-29435.070000000065</v>
      </c>
      <c r="G300" s="10">
        <f>(G113)-(G299)</f>
        <v>-24669.530000000028</v>
      </c>
    </row>
    <row r="301" spans="1:7" hidden="1" x14ac:dyDescent="0.25">
      <c r="A301" s="8" t="s">
        <v>270</v>
      </c>
      <c r="B301" s="9"/>
      <c r="C301" s="9"/>
      <c r="D301" s="9"/>
      <c r="F301" s="9"/>
      <c r="G301" s="9"/>
    </row>
    <row r="302" spans="1:7" hidden="1" x14ac:dyDescent="0.25">
      <c r="A302" s="8" t="s">
        <v>271</v>
      </c>
      <c r="B302" s="9">
        <f>44184.99</f>
        <v>44184.99</v>
      </c>
      <c r="C302" s="9">
        <f>46264.17</f>
        <v>46264.17</v>
      </c>
      <c r="D302" s="9">
        <f>46841.57</f>
        <v>46841.57</v>
      </c>
      <c r="F302" s="9">
        <f>40000</f>
        <v>40000</v>
      </c>
      <c r="G302" s="9">
        <f>40000</f>
        <v>40000</v>
      </c>
    </row>
    <row r="303" spans="1:7" hidden="1" x14ac:dyDescent="0.25">
      <c r="A303" s="8" t="s">
        <v>272</v>
      </c>
      <c r="B303" s="9"/>
      <c r="C303" s="9"/>
      <c r="D303" s="9"/>
      <c r="F303" s="9"/>
      <c r="G303" s="9"/>
    </row>
    <row r="304" spans="1:7" hidden="1" x14ac:dyDescent="0.25">
      <c r="A304" s="8" t="s">
        <v>273</v>
      </c>
      <c r="B304" s="10">
        <f>(B302)+(B303)</f>
        <v>44184.99</v>
      </c>
      <c r="C304" s="10">
        <f>(C302)+(C303)</f>
        <v>46264.17</v>
      </c>
      <c r="D304" s="11">
        <f>(D302)+(D303)</f>
        <v>46841.57</v>
      </c>
      <c r="F304" s="10">
        <f>(F302)+(F303)</f>
        <v>40000</v>
      </c>
      <c r="G304" s="10">
        <f>(G302)+(G303)</f>
        <v>40000</v>
      </c>
    </row>
    <row r="305" spans="1:7" hidden="1" x14ac:dyDescent="0.25">
      <c r="A305" s="8" t="s">
        <v>274</v>
      </c>
      <c r="B305" s="9"/>
      <c r="C305" s="9"/>
      <c r="D305" s="9"/>
      <c r="F305" s="9"/>
      <c r="G305" s="9"/>
    </row>
    <row r="306" spans="1:7" hidden="1" x14ac:dyDescent="0.25">
      <c r="A306" s="8" t="s">
        <v>275</v>
      </c>
      <c r="B306" s="10">
        <f>(B304)+(B305)</f>
        <v>44184.99</v>
      </c>
      <c r="C306" s="10">
        <f>(C304)+(C305)</f>
        <v>46264.17</v>
      </c>
      <c r="D306" s="11">
        <f>(D304)+(D305)</f>
        <v>46841.57</v>
      </c>
      <c r="F306" s="10">
        <f>(F304)+(F305)</f>
        <v>40000</v>
      </c>
      <c r="G306" s="10">
        <f>(G304)+(G305)</f>
        <v>40000</v>
      </c>
    </row>
    <row r="307" spans="1:7" hidden="1" x14ac:dyDescent="0.25">
      <c r="A307" s="8" t="s">
        <v>276</v>
      </c>
      <c r="B307" s="9"/>
      <c r="C307" s="9"/>
      <c r="D307" s="9"/>
      <c r="F307" s="9"/>
      <c r="G307" s="9"/>
    </row>
    <row r="308" spans="1:7" hidden="1" x14ac:dyDescent="0.25">
      <c r="A308" s="8" t="s">
        <v>277</v>
      </c>
      <c r="B308" s="9"/>
      <c r="C308" s="9"/>
      <c r="D308" s="9"/>
      <c r="F308" s="9"/>
      <c r="G308" s="9"/>
    </row>
    <row r="309" spans="1:7" hidden="1" x14ac:dyDescent="0.25">
      <c r="A309" s="8" t="s">
        <v>278</v>
      </c>
      <c r="B309" s="9"/>
      <c r="C309" s="9">
        <f>150</f>
        <v>150</v>
      </c>
      <c r="D309" s="9">
        <f>150</f>
        <v>150</v>
      </c>
      <c r="E309" s="2">
        <v>150</v>
      </c>
      <c r="F309" s="9">
        <f>150</f>
        <v>150</v>
      </c>
      <c r="G309" s="9">
        <f>150</f>
        <v>150</v>
      </c>
    </row>
    <row r="310" spans="1:7" hidden="1" x14ac:dyDescent="0.25">
      <c r="A310" s="8" t="s">
        <v>279</v>
      </c>
      <c r="B310" s="9"/>
      <c r="C310" s="9"/>
      <c r="D310" s="9"/>
      <c r="F310" s="9"/>
      <c r="G310" s="9"/>
    </row>
    <row r="311" spans="1:7" hidden="1" x14ac:dyDescent="0.25">
      <c r="A311" s="8" t="s">
        <v>280</v>
      </c>
      <c r="B311" s="10">
        <f>((B308)+(B309))+(B310)</f>
        <v>0</v>
      </c>
      <c r="C311" s="10">
        <f>((C308)+(C309))+(C310)</f>
        <v>150</v>
      </c>
      <c r="D311" s="11">
        <f>((D308)+(D309))+(D310)</f>
        <v>150</v>
      </c>
      <c r="F311" s="10">
        <f>((F308)+(F309))+(F310)</f>
        <v>150</v>
      </c>
      <c r="G311" s="10">
        <f>((G308)+(G309))+(G310)</f>
        <v>150</v>
      </c>
    </row>
    <row r="312" spans="1:7" hidden="1" x14ac:dyDescent="0.25">
      <c r="A312" s="8" t="s">
        <v>281</v>
      </c>
      <c r="B312" s="10">
        <f>(B306)-(B311)</f>
        <v>44184.99</v>
      </c>
      <c r="C312" s="10">
        <f>(C306)-(C311)</f>
        <v>46114.17</v>
      </c>
      <c r="D312" s="11">
        <f>(D306)-(D311)</f>
        <v>46691.57</v>
      </c>
      <c r="F312" s="10">
        <f>(F306)-(F311)</f>
        <v>39850</v>
      </c>
      <c r="G312" s="10">
        <f>(G306)-(G311)</f>
        <v>39850</v>
      </c>
    </row>
    <row r="313" spans="1:7" hidden="1" x14ac:dyDescent="0.25">
      <c r="A313" s="8" t="s">
        <v>282</v>
      </c>
      <c r="B313" s="10">
        <f>(B300)+(B312)</f>
        <v>88190.339999999967</v>
      </c>
      <c r="C313" s="10">
        <f>(C300)+(C312)</f>
        <v>106525.46999999999</v>
      </c>
      <c r="D313" s="10">
        <f>(D300)+(D312)</f>
        <v>34674.539999999972</v>
      </c>
      <c r="F313" s="10">
        <f>(F300)+(F312)</f>
        <v>10414.929999999935</v>
      </c>
      <c r="G313" s="10">
        <f>(G300)+(G312)</f>
        <v>15180.469999999972</v>
      </c>
    </row>
    <row r="314" spans="1:7" x14ac:dyDescent="0.25">
      <c r="A314" s="8"/>
      <c r="B314" s="9"/>
      <c r="C314" s="9"/>
      <c r="D314" s="9"/>
      <c r="F314" s="9"/>
    </row>
    <row r="315" spans="1:7" x14ac:dyDescent="0.25">
      <c r="A315" s="21">
        <f ca="1">TODAY()</f>
        <v>43375</v>
      </c>
    </row>
  </sheetData>
  <pageMargins left="0.45" right="0.45" top="0.5" bottom="0.5" header="0.3" footer="0.3"/>
  <pageSetup scale="80" fitToHeight="5" orientation="landscape" horizontalDpi="4294967295" verticalDpi="4294967295" r:id="rId1"/>
  <rowBreaks count="4" manualBreakCount="4">
    <brk id="49" max="7" man="1"/>
    <brk id="140" max="7" man="1"/>
    <brk id="190" max="7" man="1"/>
    <brk id="2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Profit and Loss</vt:lpstr>
      <vt:lpstr>'Profit and Loss'!Print_Area</vt:lpstr>
      <vt:lpstr>'Profit and Loss'!Print_Titles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 Windrath</cp:lastModifiedBy>
  <cp:lastPrinted>2018-09-19T19:59:17Z</cp:lastPrinted>
  <dcterms:created xsi:type="dcterms:W3CDTF">2018-09-02T14:34:02Z</dcterms:created>
  <dcterms:modified xsi:type="dcterms:W3CDTF">2018-10-02T18:15:17Z</dcterms:modified>
</cp:coreProperties>
</file>